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83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61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91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80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11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74.xml" ContentType="application/vnd.openxmlformats-officedocument.spreadsheetml.worksheet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63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30.xml" ContentType="application/vnd.openxmlformats-officedocument.spreadsheetml.workshee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9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35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93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82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97.xml" ContentType="application/vnd.openxmlformats-officedocument.spreadsheetml.worksheet+xml"/>
  <Override PartName="/xl/worksheets/sheet30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76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65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90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95.xml" ContentType="application/vnd.openxmlformats-officedocument.spreadsheetml.worksheet+xml"/>
  <Override PartName="/xl/worksheets/sheet400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84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worksheets/sheet389.xml" ContentType="application/vnd.openxmlformats-officedocument.spreadsheetml.worksheet+xml"/>
  <Override PartName="/xl/worksheets/sheet40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378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worksheets/sheet367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92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81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70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397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86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worksheets/sheet369.xml" ContentType="application/vnd.openxmlformats-officedocument.spreadsheetml.workshee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94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3335" windowHeight="11760" firstSheet="67" activeTab="69"/>
  </bookViews>
  <sheets>
    <sheet name="Айвазовского д.1" sheetId="1" r:id="rId1"/>
    <sheet name="VeryHide" sheetId="2" state="veryHidden" r:id="rId2"/>
    <sheet name="Айвазовского д.5 к.1" sheetId="5" r:id="rId3"/>
    <sheet name="Ай~ д.6 к.1 стр.п.1-8,18,19" sheetId="8" r:id="rId4"/>
    <sheet name="Вильнюсская д.3 к.1" sheetId="11" r:id="rId5"/>
    <sheet name="Вильнюсская д.4 стр.п.11-18 " sheetId="14" r:id="rId6"/>
    <sheet name="Вильнюсская д.6" sheetId="17" r:id="rId7"/>
    <sheet name="Вильнюсская д.7 к.2" sheetId="20" r:id="rId8"/>
    <sheet name="Вильнюсская д.8 к.2" sheetId="23" r:id="rId9"/>
    <sheet name="Вильнюсская д.13" sheetId="26" r:id="rId10"/>
    <sheet name="Вильнюсская д.15" sheetId="29" r:id="rId11"/>
    <sheet name="Вильнюсская д.17" sheetId="32" r:id="rId12"/>
    <sheet name="Голубинская д.3 к.1" sheetId="35" r:id="rId13"/>
    <sheet name="Голубинская д.7 к.2" sheetId="38" r:id="rId14"/>
    <sheet name="Голубинская д.7 к.5" sheetId="41" r:id="rId15"/>
    <sheet name="Голубинская д.9" sheetId="44" r:id="rId16"/>
    <sheet name="Голубинская д.13 к.1" sheetId="47" r:id="rId17"/>
    <sheet name="Голубинская д.15|10" sheetId="50" r:id="rId18"/>
    <sheet name="Голубинская д.17|9" sheetId="53" r:id="rId19"/>
    <sheet name="Голубинская д.19" sheetId="56" r:id="rId20"/>
    <sheet name="Голубинская д.24 к.1" sheetId="59" r:id="rId21"/>
    <sheet name="Г~ д.25 к.1 стр.п.1-9,16-17 " sheetId="62" r:id="rId22"/>
    <sheet name="Г~ д.25 к.2 стр.п.1-6 ЖСК Осень" sheetId="65" r:id="rId23"/>
    <sheet name="Голубинская д.29 к.1" sheetId="68" r:id="rId24"/>
    <sheet name="Голубинская д.29 к.2" sheetId="71" r:id="rId25"/>
    <sheet name="Голубинская д.32|2" sheetId="74" r:id="rId26"/>
    <sheet name="Инессы Арманд д.3" sheetId="77" r:id="rId27"/>
    <sheet name="И~ д.4 к.1 стр.п.1-10,15-16" sheetId="80" r:id="rId28"/>
    <sheet name="И~ д.4 к.1 стр.п.11-14 ЖСК Лада" sheetId="83" r:id="rId29"/>
    <sheet name="И~д.4 к.2 стр.п.5-13" sheetId="86" r:id="rId30"/>
    <sheet name="Инессы Арманд д.7" sheetId="89" r:id="rId31"/>
    <sheet name="Инессы Арманд д.8|17" sheetId="92" r:id="rId32"/>
    <sheet name="Инессы Арманд д.11" sheetId="95" r:id="rId33"/>
    <sheet name="Карамзина пр-д д.1 к.1" sheetId="98" r:id="rId34"/>
    <sheet name="Кар~ д.1 к.3 стр.п.1-2,7-12" sheetId="101" r:id="rId35"/>
    <sheet name="Ка~ д.1 к.3 стр.п.3-6 ЖСК Омега" sheetId="104" r:id="rId36"/>
    <sheet name="К~ д.1 к.3 стр.п.13-16 ЖСК Лимб" sheetId="107" r:id="rId37"/>
    <sheet name="Карамзина пр-д д.5" sheetId="110" r:id="rId38"/>
    <sheet name="Карамзина пр-д д.13 к.1" sheetId="113" r:id="rId39"/>
    <sheet name="Литовский б-р д.1" sheetId="116" r:id="rId40"/>
    <sheet name=" д.3 к.2 стр.п.1-6,12-13,17-25 " sheetId="119" r:id="rId41"/>
    <sheet name="~ д.3 к.2 стр.п.7-11 ЖСК Тайфун" sheetId="122" r:id="rId42"/>
    <sheet name="Литовский б-р д.6 к.1" sheetId="125" r:id="rId43"/>
    <sheet name="Литовский б-р д.6 к.3" sheetId="128" r:id="rId44"/>
    <sheet name="Литовский б-р д.9|7" sheetId="131" r:id="rId45"/>
    <sheet name="Литовский б-р д.10 к.1" sheetId="134" r:id="rId46"/>
    <sheet name="Литовский б-р д.11 к.5" sheetId="137" r:id="rId47"/>
    <sheet name="Литовский б-р д.15 к.1" sheetId="140" r:id="rId48"/>
    <sheet name="Литовский б-р д.15 к.5" sheetId="143" r:id="rId49"/>
    <sheet name="Литовский б~ д.18 стр.п.1-2 " sheetId="146" r:id="rId50"/>
    <sheet name="Лито~ д.26 стр.п.1-4 ЖСК Широта" sheetId="149" r:id="rId51"/>
    <sheet name="Литовский б~ д.26 стр.п.5-6 " sheetId="152" r:id="rId52"/>
    <sheet name="Литовский б-р д.30" sheetId="155" r:id="rId53"/>
    <sheet name="Литовс~ д.34 к.  стр.ЖСК Родник" sheetId="158" r:id="rId54"/>
    <sheet name="Литовский б-р д.42 к.1" sheetId="161" r:id="rId55"/>
    <sheet name="Литовский б-р д.46 к.1" sheetId="164" r:id="rId56"/>
    <sheet name="Литовский б-р д.46 к.2" sheetId="167" r:id="rId57"/>
    <sheet name="Новоясеневский пр-т д.3" sheetId="170" r:id="rId58"/>
    <sheet name="Новоясеневский пр-т д.5 к.1" sheetId="173" r:id="rId59"/>
    <sheet name="Новоясеневский пр-т д.12 к.1" sheetId="176" r:id="rId60"/>
    <sheet name="Новоясеневский пр-т д.13 к.1" sheetId="179" r:id="rId61"/>
    <sheet name="Н~ д.14 к.2 стр.п.5-8 ЖСК Ясень" sheetId="182" r:id="rId62"/>
    <sheet name="Новояс~ д.14 к.2 стр.п.9-10 " sheetId="185" r:id="rId63"/>
    <sheet name="Новоясеневский пр-т д.16 к.1" sheetId="188" r:id="rId64"/>
    <sheet name="Новоясеневский пр-т д.17|50" sheetId="191" r:id="rId65"/>
    <sheet name="Новоясеневский пр-т д.19 к.1" sheetId="194" r:id="rId66"/>
    <sheet name="Новоясеневский пр-т д.19 к.4" sheetId="197" r:id="rId67"/>
    <sheet name="Н~ д.21 к.1 стр.п.1-4 ЖСК Книга" sheetId="200" r:id="rId68"/>
    <sheet name="Новояс~ д.21 к.1 стр.п.5-16 " sheetId="203" r:id="rId69"/>
    <sheet name="Новоясеневский пр-т д.21 к.3" sheetId="206" r:id="rId70"/>
    <sheet name="Новоясеневский пр-т д.22 к.1" sheetId="209" r:id="rId71"/>
    <sheet name="Новоясеневский пр-т д.22 к.3" sheetId="212" r:id="rId72"/>
    <sheet name="Новоясеневский пр-т д.25|20" sheetId="215" r:id="rId73"/>
    <sheet name="Новоясеневский пр-т д.32 к.1" sheetId="218" r:id="rId74"/>
    <sheet name="Н~ д.32 к.3 стр.п.1-6 ЖСК Ясный" sheetId="221" r:id="rId75"/>
    <sheet name="Новояс~ д.32 к.3 стр.п.7-15 " sheetId="224" r:id="rId76"/>
    <sheet name="Новоясеневский пр-т д.38 к.1" sheetId="227" r:id="rId77"/>
    <sheet name="Новоясе~ д.40 к.3 стр.п.1-9 " sheetId="230" r:id="rId78"/>
    <sheet name="~ д.40 к.3 стр.п.10-15 ЖСК Лань" sheetId="233" r:id="rId79"/>
    <sheet name="Одоевского п~ д.3 к.1 стр.п.1-2" sheetId="236" r:id="rId80"/>
    <sheet name="Одоевского п~ д.3 к.2 стр.п.3-4" sheetId="239" r:id="rId81"/>
    <sheet name="Одоевского п~ д.3 к.3 стр.п.5-6" sheetId="242" r:id="rId82"/>
    <sheet name="Одоевского п~ д.3 к.4 стр.п.7-8" sheetId="245" r:id="rId83"/>
    <sheet name="Одоевского ~ д.3 к.5 стр.п.9-10" sheetId="248" r:id="rId84"/>
    <sheet name="Одоевского~ д.3 к.6 стр.п.11-12" sheetId="251" r:id="rId85"/>
    <sheet name="Одоевского пр-д д.3 к.7" sheetId="254" r:id="rId86"/>
    <sheet name="Одоевского п~ д.7 к.1 стр.п.1-2" sheetId="257" r:id="rId87"/>
    <sheet name="Одоевского п~ д.7 к.2 стр.п.3-4" sheetId="260" r:id="rId88"/>
    <sheet name="Одоевского п~ д.7 к.3 стр.п.5-6" sheetId="263" r:id="rId89"/>
    <sheet name="Одоевского п~ д.7 к.4 стр.п.7-8" sheetId="266" r:id="rId90"/>
    <sheet name="Одоевского пр-д д.7 к.7" sheetId="269" r:id="rId91"/>
    <sheet name="Одоевского ~ д.11 к.1 стр.п.1-2" sheetId="272" r:id="rId92"/>
    <sheet name="Одоевского ~ д.11 к.2 стр.п.3-4" sheetId="275" r:id="rId93"/>
    <sheet name="Одоевского ~ д.11 к.3 стр.п.5-6" sheetId="278" r:id="rId94"/>
    <sheet name="Одоевского ~ д.11 к.4 стр.п.7-8" sheetId="281" r:id="rId95"/>
    <sheet name="Одоевского~ д.11 к.5 стр.п.9-10" sheetId="284" r:id="rId96"/>
    <sheet name="Одоевског~ д.11 к.6 стр.п.11-12" sheetId="287" r:id="rId97"/>
    <sheet name="Пау~д.3 стр.п.п.1-2,8-11,17-18" sheetId="290" r:id="rId98"/>
    <sheet name="Пау~ д.3 стр.п.3-7 ЖСК Телетайп" sheetId="293" r:id="rId99"/>
    <sheet name="Паус~ д.3 стр.п.12-16 ЖСК Олимп" sheetId="296" r:id="rId100"/>
    <sheet name="П~ д.4 стр.п.1-2,8-11,17-18 " sheetId="299" r:id="rId101"/>
    <sheet name="Пау~ д.4 стр.п.3-7 ЖСК Вибратор" sheetId="302" r:id="rId102"/>
    <sheet name="П~ д.4 стр.п.12-16 ЖСК Геостром" sheetId="305" r:id="rId103"/>
    <sheet name="Паустовского д.5 к.1" sheetId="308" r:id="rId104"/>
    <sheet name="Пау~ д.8 к.3 стр.п.1-4,9-12 " sheetId="311" r:id="rId105"/>
    <sheet name=" д.8 к.3 стр.п.5-8 ЖСК Молния-2" sheetId="314" r:id="rId106"/>
    <sheet name="Рокотова д.1|12" sheetId="317" r:id="rId107"/>
    <sheet name="Рокотова д.2|10" sheetId="320" r:id="rId108"/>
    <sheet name="Рокотова д.3 к.2" sheetId="323" r:id="rId109"/>
    <sheet name="Р~ д.4 к.2 стр.п.1-3 ЖСК Жасмин" sheetId="326" r:id="rId110"/>
    <sheet name="Ро~ д.4 к.2 стр.п.4-5,11-14 " sheetId="329" r:id="rId111"/>
    <sheet name=" д.4 к.2 стр.п.6-10 ЖСК Колизей" sheetId="332" r:id="rId112"/>
    <sheet name="Рокотова д.7 к.2" sheetId="335" r:id="rId113"/>
    <sheet name="Ро~ д.8 к.2 стр.п.1-4,11-14 " sheetId="338" r:id="rId114"/>
    <sheet name="Рокотова д.8 к.5" sheetId="341" r:id="rId115"/>
    <sheet name="Соловь~ д.2 стр.п.1-6,14-17 " sheetId="344" r:id="rId116"/>
    <sheet name="Солов~ д.2 стр.п.7-13 ЖСК Пегас" sheetId="347" r:id="rId117"/>
    <sheet name="Соловьин~ д.4 к.1 стр.п.1-2" sheetId="350" r:id="rId118"/>
    <sheet name="Соловьиный пр-д д.6" sheetId="353" r:id="rId119"/>
    <sheet name="Соловьиный пр-д д.8" sheetId="356" r:id="rId120"/>
    <sheet name="Соловьиный~ д.14 стр.п.5-16" sheetId="359" r:id="rId121"/>
    <sheet name="Соловьиный пр-д д.16 к.1" sheetId="362" r:id="rId122"/>
    <sheet name="Соловьиный пр-д д.18" sheetId="365" r:id="rId123"/>
    <sheet name="Тарусская д.14 к.1" sheetId="368" r:id="rId124"/>
    <sheet name="Тарусская д.14 к.2" sheetId="371" r:id="rId125"/>
    <sheet name="Тарусская д.18 к.1" sheetId="374" r:id="rId126"/>
    <sheet name="Тарусская д.18 к.2" sheetId="377" r:id="rId127"/>
    <sheet name="Тарусская д.22 к.2" sheetId="380" r:id="rId128"/>
    <sheet name="Ясногорская д.3" sheetId="383" r:id="rId129"/>
    <sheet name="Ясногорская д.7" sheetId="386" r:id="rId130"/>
    <sheet name="Ясногорская д.13 к.1" sheetId="389" r:id="rId131"/>
    <sheet name="Ясногорская д.13 к.2" sheetId="392" r:id="rId132"/>
    <sheet name="Ясногорская д.17 к.1" sheetId="395" r:id="rId133"/>
    <sheet name="Ясногорская д.17 к.2" sheetId="398" r:id="rId134"/>
    <sheet name="Ясногорская д.21 к.1" sheetId="401" r:id="rId135"/>
    <sheet name="Ясногорская д.21 к.2" sheetId="404" r:id="rId136"/>
    <sheet name="_Filter (135)" sheetId="406" state="hidden" r:id="rId137"/>
    <sheet name="_Essentia (135)" sheetId="405" state="hidden" r:id="rId138"/>
    <sheet name="_Filter (134)" sheetId="403" state="hidden" r:id="rId139"/>
    <sheet name="_Essentia (134)" sheetId="402" state="hidden" r:id="rId140"/>
    <sheet name="_Filter (133)" sheetId="400" state="hidden" r:id="rId141"/>
    <sheet name="_Essentia (133)" sheetId="399" state="hidden" r:id="rId142"/>
    <sheet name="_Filter (132)" sheetId="397" state="hidden" r:id="rId143"/>
    <sheet name="_Essentia (132)" sheetId="396" state="hidden" r:id="rId144"/>
    <sheet name="_Filter (131)" sheetId="394" state="hidden" r:id="rId145"/>
    <sheet name="_Essentia (131)" sheetId="393" state="hidden" r:id="rId146"/>
    <sheet name="_Filter (130)" sheetId="391" state="hidden" r:id="rId147"/>
    <sheet name="_Essentia (130)" sheetId="390" state="hidden" r:id="rId148"/>
    <sheet name="_Filter (129)" sheetId="388" state="hidden" r:id="rId149"/>
    <sheet name="_Essentia (129)" sheetId="387" state="hidden" r:id="rId150"/>
    <sheet name="_Filter (128)" sheetId="385" state="hidden" r:id="rId151"/>
    <sheet name="_Essentia (128)" sheetId="384" state="hidden" r:id="rId152"/>
    <sheet name="_Filter (127)" sheetId="382" state="hidden" r:id="rId153"/>
    <sheet name="_Essentia (127)" sheetId="381" state="hidden" r:id="rId154"/>
    <sheet name="_Filter (126)" sheetId="379" state="hidden" r:id="rId155"/>
    <sheet name="_Essentia (126)" sheetId="378" state="hidden" r:id="rId156"/>
    <sheet name="_Filter (125)" sheetId="376" state="hidden" r:id="rId157"/>
    <sheet name="_Essentia (125)" sheetId="375" state="hidden" r:id="rId158"/>
    <sheet name="_Filter (124)" sheetId="373" state="hidden" r:id="rId159"/>
    <sheet name="_Essentia (124)" sheetId="372" state="hidden" r:id="rId160"/>
    <sheet name="_Filter (123)" sheetId="370" state="hidden" r:id="rId161"/>
    <sheet name="_Essentia (123)" sheetId="369" state="hidden" r:id="rId162"/>
    <sheet name="_Filter (122)" sheetId="367" state="hidden" r:id="rId163"/>
    <sheet name="_Essentia (122)" sheetId="366" state="hidden" r:id="rId164"/>
    <sheet name="_Filter (121)" sheetId="364" state="hidden" r:id="rId165"/>
    <sheet name="_Essentia (121)" sheetId="363" state="hidden" r:id="rId166"/>
    <sheet name="_Filter (120)" sheetId="361" state="hidden" r:id="rId167"/>
    <sheet name="_Essentia (120)" sheetId="360" state="hidden" r:id="rId168"/>
    <sheet name="_Filter (119)" sheetId="358" state="hidden" r:id="rId169"/>
    <sheet name="_Essentia (119)" sheetId="357" state="hidden" r:id="rId170"/>
    <sheet name="_Filter (118)" sheetId="355" state="hidden" r:id="rId171"/>
    <sheet name="_Essentia (118)" sheetId="354" state="hidden" r:id="rId172"/>
    <sheet name="_Filter (117)" sheetId="352" state="hidden" r:id="rId173"/>
    <sheet name="_Essentia (117)" sheetId="351" state="hidden" r:id="rId174"/>
    <sheet name="_Filter (116)" sheetId="349" state="hidden" r:id="rId175"/>
    <sheet name="_Essentia (116)" sheetId="348" state="hidden" r:id="rId176"/>
    <sheet name="_Filter (115)" sheetId="346" state="hidden" r:id="rId177"/>
    <sheet name="_Essentia (115)" sheetId="345" state="hidden" r:id="rId178"/>
    <sheet name="_Filter (114)" sheetId="343" state="hidden" r:id="rId179"/>
    <sheet name="_Essentia (114)" sheetId="342" state="hidden" r:id="rId180"/>
    <sheet name="_Filter (113)" sheetId="340" state="hidden" r:id="rId181"/>
    <sheet name="_Essentia (113)" sheetId="339" state="hidden" r:id="rId182"/>
    <sheet name="_Filter (112)" sheetId="337" state="hidden" r:id="rId183"/>
    <sheet name="_Essentia (112)" sheetId="336" state="hidden" r:id="rId184"/>
    <sheet name="_Filter (111)" sheetId="334" state="hidden" r:id="rId185"/>
    <sheet name="_Essentia (111)" sheetId="333" state="hidden" r:id="rId186"/>
    <sheet name="_Filter (110)" sheetId="331" state="hidden" r:id="rId187"/>
    <sheet name="_Essentia (110)" sheetId="330" state="hidden" r:id="rId188"/>
    <sheet name="_Filter (109)" sheetId="328" state="hidden" r:id="rId189"/>
    <sheet name="_Essentia (109)" sheetId="327" state="hidden" r:id="rId190"/>
    <sheet name="_Filter (108)" sheetId="325" state="hidden" r:id="rId191"/>
    <sheet name="_Essentia (108)" sheetId="324" state="hidden" r:id="rId192"/>
    <sheet name="_Filter (107)" sheetId="322" state="hidden" r:id="rId193"/>
    <sheet name="_Essentia (107)" sheetId="321" state="hidden" r:id="rId194"/>
    <sheet name="_Filter (106)" sheetId="319" state="hidden" r:id="rId195"/>
    <sheet name="_Essentia (106)" sheetId="318" state="hidden" r:id="rId196"/>
    <sheet name="_Filter (105)" sheetId="316" state="hidden" r:id="rId197"/>
    <sheet name="_Essentia (105)" sheetId="315" state="hidden" r:id="rId198"/>
    <sheet name="_Filter (104)" sheetId="313" state="hidden" r:id="rId199"/>
    <sheet name="_Essentia (104)" sheetId="312" state="hidden" r:id="rId200"/>
    <sheet name="_Filter (103)" sheetId="310" state="hidden" r:id="rId201"/>
    <sheet name="_Essentia (103)" sheetId="309" state="hidden" r:id="rId202"/>
    <sheet name="_Filter (102)" sheetId="307" state="hidden" r:id="rId203"/>
    <sheet name="_Essentia (102)" sheetId="306" state="hidden" r:id="rId204"/>
    <sheet name="_Filter (101)" sheetId="304" state="hidden" r:id="rId205"/>
    <sheet name="_Essentia (101)" sheetId="303" state="hidden" r:id="rId206"/>
    <sheet name="_Filter (100)" sheetId="301" state="hidden" r:id="rId207"/>
    <sheet name="_Essentia (100)" sheetId="300" state="hidden" r:id="rId208"/>
    <sheet name="_Filter (99)" sheetId="298" state="hidden" r:id="rId209"/>
    <sheet name="_Essentia (99)" sheetId="297" state="hidden" r:id="rId210"/>
    <sheet name="_Filter (98)" sheetId="295" state="hidden" r:id="rId211"/>
    <sheet name="_Essentia (98)" sheetId="294" state="hidden" r:id="rId212"/>
    <sheet name="_Filter (97)" sheetId="292" state="hidden" r:id="rId213"/>
    <sheet name="_Essentia (97)" sheetId="291" state="hidden" r:id="rId214"/>
    <sheet name="_Filter (96)" sheetId="289" state="hidden" r:id="rId215"/>
    <sheet name="_Essentia (96)" sheetId="288" state="hidden" r:id="rId216"/>
    <sheet name="_Filter (95)" sheetId="286" state="hidden" r:id="rId217"/>
    <sheet name="_Essentia (95)" sheetId="285" state="hidden" r:id="rId218"/>
    <sheet name="_Filter (94)" sheetId="283" state="hidden" r:id="rId219"/>
    <sheet name="_Essentia (94)" sheetId="282" state="hidden" r:id="rId220"/>
    <sheet name="_Filter (93)" sheetId="280" state="hidden" r:id="rId221"/>
    <sheet name="_Essentia (93)" sheetId="279" state="hidden" r:id="rId222"/>
    <sheet name="_Filter (92)" sheetId="277" state="hidden" r:id="rId223"/>
    <sheet name="_Essentia (92)" sheetId="276" state="hidden" r:id="rId224"/>
    <sheet name="_Filter (91)" sheetId="274" state="hidden" r:id="rId225"/>
    <sheet name="_Essentia (91)" sheetId="273" state="hidden" r:id="rId226"/>
    <sheet name="_Filter (90)" sheetId="271" state="hidden" r:id="rId227"/>
    <sheet name="_Essentia (90)" sheetId="270" state="hidden" r:id="rId228"/>
    <sheet name="_Filter (89)" sheetId="268" state="hidden" r:id="rId229"/>
    <sheet name="_Essentia (89)" sheetId="267" state="hidden" r:id="rId230"/>
    <sheet name="_Filter (88)" sheetId="265" state="hidden" r:id="rId231"/>
    <sheet name="_Essentia (88)" sheetId="264" state="hidden" r:id="rId232"/>
    <sheet name="_Filter (87)" sheetId="262" state="hidden" r:id="rId233"/>
    <sheet name="_Essentia (87)" sheetId="261" state="hidden" r:id="rId234"/>
    <sheet name="_Filter (86)" sheetId="259" state="hidden" r:id="rId235"/>
    <sheet name="_Essentia (86)" sheetId="258" state="hidden" r:id="rId236"/>
    <sheet name="_Filter (85)" sheetId="256" state="hidden" r:id="rId237"/>
    <sheet name="_Essentia (85)" sheetId="255" state="hidden" r:id="rId238"/>
    <sheet name="_Filter (84)" sheetId="253" state="hidden" r:id="rId239"/>
    <sheet name="_Essentia (84)" sheetId="252" state="hidden" r:id="rId240"/>
    <sheet name="_Filter (83)" sheetId="250" state="hidden" r:id="rId241"/>
    <sheet name="_Essentia (83)" sheetId="249" state="hidden" r:id="rId242"/>
    <sheet name="_Filter (82)" sheetId="247" state="hidden" r:id="rId243"/>
    <sheet name="_Essentia (82)" sheetId="246" state="hidden" r:id="rId244"/>
    <sheet name="_Filter (81)" sheetId="244" state="hidden" r:id="rId245"/>
    <sheet name="_Essentia (81)" sheetId="243" state="hidden" r:id="rId246"/>
    <sheet name="_Filter (80)" sheetId="241" state="hidden" r:id="rId247"/>
    <sheet name="_Essentia (80)" sheetId="240" state="hidden" r:id="rId248"/>
    <sheet name="_Filter (79)" sheetId="238" state="hidden" r:id="rId249"/>
    <sheet name="_Essentia (79)" sheetId="237" state="hidden" r:id="rId250"/>
    <sheet name="_Filter (78)" sheetId="235" state="hidden" r:id="rId251"/>
    <sheet name="_Essentia (78)" sheetId="234" state="hidden" r:id="rId252"/>
    <sheet name="_Filter (77)" sheetId="232" state="hidden" r:id="rId253"/>
    <sheet name="_Essentia (77)" sheetId="231" state="hidden" r:id="rId254"/>
    <sheet name="_Filter (76)" sheetId="229" state="hidden" r:id="rId255"/>
    <sheet name="_Essentia (76)" sheetId="228" state="hidden" r:id="rId256"/>
    <sheet name="_Filter (75)" sheetId="226" state="hidden" r:id="rId257"/>
    <sheet name="_Essentia (75)" sheetId="225" state="hidden" r:id="rId258"/>
    <sheet name="_Filter (74)" sheetId="223" state="hidden" r:id="rId259"/>
    <sheet name="_Essentia (74)" sheetId="222" state="hidden" r:id="rId260"/>
    <sheet name="_Filter (73)" sheetId="220" state="hidden" r:id="rId261"/>
    <sheet name="_Essentia (73)" sheetId="219" state="hidden" r:id="rId262"/>
    <sheet name="_Filter (72)" sheetId="217" state="hidden" r:id="rId263"/>
    <sheet name="_Essentia (72)" sheetId="216" state="hidden" r:id="rId264"/>
    <sheet name="_Filter (71)" sheetId="214" state="hidden" r:id="rId265"/>
    <sheet name="_Essentia (71)" sheetId="213" state="hidden" r:id="rId266"/>
    <sheet name="_Filter (70)" sheetId="211" state="hidden" r:id="rId267"/>
    <sheet name="_Essentia (70)" sheetId="210" state="hidden" r:id="rId268"/>
    <sheet name="_Filter (69)" sheetId="208" state="hidden" r:id="rId269"/>
    <sheet name="_Essentia (69)" sheetId="207" state="hidden" r:id="rId270"/>
    <sheet name="_Filter (68)" sheetId="205" state="hidden" r:id="rId271"/>
    <sheet name="_Essentia (68)" sheetId="204" state="hidden" r:id="rId272"/>
    <sheet name="_Filter (67)" sheetId="202" state="hidden" r:id="rId273"/>
    <sheet name="_Essentia (67)" sheetId="201" state="hidden" r:id="rId274"/>
    <sheet name="_Filter (66)" sheetId="199" state="hidden" r:id="rId275"/>
    <sheet name="_Essentia (66)" sheetId="198" state="hidden" r:id="rId276"/>
    <sheet name="_Filter (65)" sheetId="196" state="hidden" r:id="rId277"/>
    <sheet name="_Essentia (65)" sheetId="195" state="hidden" r:id="rId278"/>
    <sheet name="_Filter (64)" sheetId="193" state="hidden" r:id="rId279"/>
    <sheet name="_Essentia (64)" sheetId="192" state="hidden" r:id="rId280"/>
    <sheet name="_Filter (63)" sheetId="190" state="hidden" r:id="rId281"/>
    <sheet name="_Essentia (63)" sheetId="189" state="hidden" r:id="rId282"/>
    <sheet name="_Filter (62)" sheetId="187" state="hidden" r:id="rId283"/>
    <sheet name="_Essentia (62)" sheetId="186" state="hidden" r:id="rId284"/>
    <sheet name="_Filter (61)" sheetId="184" state="hidden" r:id="rId285"/>
    <sheet name="_Essentia (61)" sheetId="183" state="hidden" r:id="rId286"/>
    <sheet name="_Filter (60)" sheetId="181" state="hidden" r:id="rId287"/>
    <sheet name="_Essentia (60)" sheetId="180" state="hidden" r:id="rId288"/>
    <sheet name="_Filter (59)" sheetId="178" state="hidden" r:id="rId289"/>
    <sheet name="_Essentia (59)" sheetId="177" state="hidden" r:id="rId290"/>
    <sheet name="_Filter (58)" sheetId="175" state="hidden" r:id="rId291"/>
    <sheet name="_Essentia (58)" sheetId="174" state="hidden" r:id="rId292"/>
    <sheet name="_Filter (57)" sheetId="172" state="hidden" r:id="rId293"/>
    <sheet name="_Essentia (57)" sheetId="171" state="hidden" r:id="rId294"/>
    <sheet name="_Filter (56)" sheetId="169" state="hidden" r:id="rId295"/>
    <sheet name="_Essentia (56)" sheetId="168" state="hidden" r:id="rId296"/>
    <sheet name="_Filter (55)" sheetId="166" state="hidden" r:id="rId297"/>
    <sheet name="_Essentia (55)" sheetId="165" state="hidden" r:id="rId298"/>
    <sheet name="_Filter (54)" sheetId="163" state="hidden" r:id="rId299"/>
    <sheet name="_Essentia (54)" sheetId="162" state="hidden" r:id="rId300"/>
    <sheet name="_Filter (53)" sheetId="160" state="hidden" r:id="rId301"/>
    <sheet name="_Essentia (53)" sheetId="159" state="hidden" r:id="rId302"/>
    <sheet name="_Filter (52)" sheetId="157" state="hidden" r:id="rId303"/>
    <sheet name="_Essentia (52)" sheetId="156" state="hidden" r:id="rId304"/>
    <sheet name="_Filter (51)" sheetId="154" state="hidden" r:id="rId305"/>
    <sheet name="_Essentia (51)" sheetId="153" state="hidden" r:id="rId306"/>
    <sheet name="_Filter (50)" sheetId="151" state="hidden" r:id="rId307"/>
    <sheet name="_Essentia (50)" sheetId="150" state="hidden" r:id="rId308"/>
    <sheet name="_Filter (49)" sheetId="148" state="hidden" r:id="rId309"/>
    <sheet name="_Essentia (49)" sheetId="147" state="hidden" r:id="rId310"/>
    <sheet name="_Filter (48)" sheetId="145" state="hidden" r:id="rId311"/>
    <sheet name="_Essentia (48)" sheetId="144" state="hidden" r:id="rId312"/>
    <sheet name="_Filter (47)" sheetId="142" state="hidden" r:id="rId313"/>
    <sheet name="_Essentia (47)" sheetId="141" state="hidden" r:id="rId314"/>
    <sheet name="_Filter (46)" sheetId="139" state="hidden" r:id="rId315"/>
    <sheet name="_Essentia (46)" sheetId="138" state="hidden" r:id="rId316"/>
    <sheet name="_Filter (45)" sheetId="136" state="hidden" r:id="rId317"/>
    <sheet name="_Essentia (45)" sheetId="135" state="hidden" r:id="rId318"/>
    <sheet name="_Filter (44)" sheetId="133" state="hidden" r:id="rId319"/>
    <sheet name="_Essentia (44)" sheetId="132" state="hidden" r:id="rId320"/>
    <sheet name="_Filter (43)" sheetId="130" state="hidden" r:id="rId321"/>
    <sheet name="_Essentia (43)" sheetId="129" state="hidden" r:id="rId322"/>
    <sheet name="_Filter (42)" sheetId="127" state="hidden" r:id="rId323"/>
    <sheet name="_Essentia (42)" sheetId="126" state="hidden" r:id="rId324"/>
    <sheet name="_Filter (41)" sheetId="124" state="hidden" r:id="rId325"/>
    <sheet name="_Essentia (41)" sheetId="123" state="hidden" r:id="rId326"/>
    <sheet name="_Filter (40)" sheetId="121" state="hidden" r:id="rId327"/>
    <sheet name="_Essentia (40)" sheetId="120" state="hidden" r:id="rId328"/>
    <sheet name="_Filter (39)" sheetId="118" state="hidden" r:id="rId329"/>
    <sheet name="_Essentia (39)" sheetId="117" state="hidden" r:id="rId330"/>
    <sheet name="_Filter (38)" sheetId="115" state="hidden" r:id="rId331"/>
    <sheet name="_Essentia (38)" sheetId="114" state="hidden" r:id="rId332"/>
    <sheet name="_Filter (37)" sheetId="112" state="hidden" r:id="rId333"/>
    <sheet name="_Essentia (37)" sheetId="111" state="hidden" r:id="rId334"/>
    <sheet name="_Filter (36)" sheetId="109" state="hidden" r:id="rId335"/>
    <sheet name="_Essentia (36)" sheetId="108" state="hidden" r:id="rId336"/>
    <sheet name="_Filter (35)" sheetId="106" state="hidden" r:id="rId337"/>
    <sheet name="_Essentia (35)" sheetId="105" state="hidden" r:id="rId338"/>
    <sheet name="_Filter (34)" sheetId="103" state="hidden" r:id="rId339"/>
    <sheet name="_Essentia (34)" sheetId="102" state="hidden" r:id="rId340"/>
    <sheet name="_Filter (33)" sheetId="100" state="hidden" r:id="rId341"/>
    <sheet name="_Essentia (33)" sheetId="99" state="hidden" r:id="rId342"/>
    <sheet name="_Filter (32)" sheetId="97" state="hidden" r:id="rId343"/>
    <sheet name="_Essentia (32)" sheetId="96" state="hidden" r:id="rId344"/>
    <sheet name="_Filter (31)" sheetId="94" state="hidden" r:id="rId345"/>
    <sheet name="_Essentia (31)" sheetId="93" state="hidden" r:id="rId346"/>
    <sheet name="_Filter (30)" sheetId="91" state="hidden" r:id="rId347"/>
    <sheet name="_Essentia (30)" sheetId="90" state="hidden" r:id="rId348"/>
    <sheet name="_Filter (29)" sheetId="88" state="hidden" r:id="rId349"/>
    <sheet name="_Essentia (29)" sheetId="87" state="hidden" r:id="rId350"/>
    <sheet name="_Filter (28)" sheetId="85" state="hidden" r:id="rId351"/>
    <sheet name="_Essentia (28)" sheetId="84" state="hidden" r:id="rId352"/>
    <sheet name="_Filter (27)" sheetId="82" state="hidden" r:id="rId353"/>
    <sheet name="_Essentia (27)" sheetId="81" state="hidden" r:id="rId354"/>
    <sheet name="_Filter (26)" sheetId="79" state="hidden" r:id="rId355"/>
    <sheet name="_Essentia (26)" sheetId="78" state="hidden" r:id="rId356"/>
    <sheet name="_Filter (25)" sheetId="76" state="hidden" r:id="rId357"/>
    <sheet name="_Essentia (25)" sheetId="75" state="hidden" r:id="rId358"/>
    <sheet name="_Filter (24)" sheetId="73" state="hidden" r:id="rId359"/>
    <sheet name="_Essentia (24)" sheetId="72" state="hidden" r:id="rId360"/>
    <sheet name="_Filter (23)" sheetId="70" state="hidden" r:id="rId361"/>
    <sheet name="_Essentia (23)" sheetId="69" state="hidden" r:id="rId362"/>
    <sheet name="_Filter (22)" sheetId="67" state="hidden" r:id="rId363"/>
    <sheet name="_Essentia (22)" sheetId="66" state="hidden" r:id="rId364"/>
    <sheet name="_Filter (21)" sheetId="64" state="hidden" r:id="rId365"/>
    <sheet name="_Essentia (21)" sheetId="63" state="hidden" r:id="rId366"/>
    <sheet name="_Filter (20)" sheetId="61" state="hidden" r:id="rId367"/>
    <sheet name="_Essentia (20)" sheetId="60" state="hidden" r:id="rId368"/>
    <sheet name="_Filter (19)" sheetId="58" state="hidden" r:id="rId369"/>
    <sheet name="_Essentia (19)" sheetId="57" state="hidden" r:id="rId370"/>
    <sheet name="_Filter (18)" sheetId="55" state="hidden" r:id="rId371"/>
    <sheet name="_Essentia (18)" sheetId="54" state="hidden" r:id="rId372"/>
    <sheet name="_Filter (17)" sheetId="52" state="hidden" r:id="rId373"/>
    <sheet name="_Essentia (17)" sheetId="51" state="hidden" r:id="rId374"/>
    <sheet name="_Filter (16)" sheetId="49" state="hidden" r:id="rId375"/>
    <sheet name="_Essentia (16)" sheetId="48" state="hidden" r:id="rId376"/>
    <sheet name="_Filter (15)" sheetId="46" state="hidden" r:id="rId377"/>
    <sheet name="_Essentia (15)" sheetId="45" state="hidden" r:id="rId378"/>
    <sheet name="_Filter (14)" sheetId="43" state="hidden" r:id="rId379"/>
    <sheet name="_Essentia (14)" sheetId="42" state="hidden" r:id="rId380"/>
    <sheet name="_Filter (13)" sheetId="40" state="hidden" r:id="rId381"/>
    <sheet name="_Essentia (13)" sheetId="39" state="hidden" r:id="rId382"/>
    <sheet name="_Filter (12)" sheetId="37" state="hidden" r:id="rId383"/>
    <sheet name="_Essentia (12)" sheetId="36" state="hidden" r:id="rId384"/>
    <sheet name="_Filter (11)" sheetId="34" state="hidden" r:id="rId385"/>
    <sheet name="_Essentia (11)" sheetId="33" state="hidden" r:id="rId386"/>
    <sheet name="_Filter (10)" sheetId="31" state="hidden" r:id="rId387"/>
    <sheet name="_Essentia (10)" sheetId="30" state="hidden" r:id="rId388"/>
    <sheet name="_Filter (9)" sheetId="28" state="hidden" r:id="rId389"/>
    <sheet name="_Essentia (9)" sheetId="27" state="hidden" r:id="rId390"/>
    <sheet name="_Filter (8)" sheetId="25" state="hidden" r:id="rId391"/>
    <sheet name="_Essentia (8)" sheetId="24" state="hidden" r:id="rId392"/>
    <sheet name="_Filter (7)" sheetId="22" state="hidden" r:id="rId393"/>
    <sheet name="_Essentia (7)" sheetId="21" state="hidden" r:id="rId394"/>
    <sheet name="_Filter (6)" sheetId="19" state="hidden" r:id="rId395"/>
    <sheet name="_Essentia (6)" sheetId="18" state="hidden" r:id="rId396"/>
    <sheet name="_Filter (5)" sheetId="16" state="hidden" r:id="rId397"/>
    <sheet name="_Essentia (5)" sheetId="15" state="hidden" r:id="rId398"/>
    <sheet name="_Filter (4)" sheetId="13" state="hidden" r:id="rId399"/>
    <sheet name="_Essentia (4)" sheetId="12" state="hidden" r:id="rId400"/>
    <sheet name="_Filter (3)" sheetId="10" state="hidden" r:id="rId401"/>
    <sheet name="_Essentia (3)" sheetId="9" state="hidden" r:id="rId402"/>
    <sheet name="_Filter (2)" sheetId="7" state="hidden" r:id="rId403"/>
    <sheet name="_Essentia (2)" sheetId="6" state="hidden" r:id="rId404"/>
    <sheet name="_Essentia" sheetId="3" state="hidden" r:id="rId405"/>
    <sheet name="_Filter" sheetId="4" state="hidden" r:id="rId406"/>
  </sheets>
  <definedNames>
    <definedName name="_100h_E10">'Паус~ д.3 стр.п.12-16 ЖСК Олимп'!$C$8</definedName>
    <definedName name="_100h_E11">'Паус~ д.3 стр.п.12-16 ЖСК Олимп'!$C$9</definedName>
    <definedName name="_100h_E12">'Паус~ д.3 стр.п.12-16 ЖСК Олимп'!$C$10</definedName>
    <definedName name="_100h_E13">'Паус~ д.3 стр.п.12-16 ЖСК Олимп'!$C$11</definedName>
    <definedName name="_100h_E14">'Паус~ д.3 стр.п.12-16 ЖСК Олимп'!$C$12</definedName>
    <definedName name="_100h_E15">'Паус~ д.3 стр.п.12-16 ЖСК Олимп'!$C$13</definedName>
    <definedName name="_100h_E16">'Паус~ д.3 стр.п.12-16 ЖСК Олимп'!$C$14</definedName>
    <definedName name="_100h_E17">'Паус~ д.3 стр.п.12-16 ЖСК Олимп'!$C$15</definedName>
    <definedName name="_100h_E18">'Паус~ д.3 стр.п.12-16 ЖСК Олимп'!$C$16</definedName>
    <definedName name="_100h_E19">'Паус~ д.3 стр.п.12-16 ЖСК Олимп'!$C$17</definedName>
    <definedName name="_100h_E20">'Паус~ д.3 стр.п.12-16 ЖСК Олимп'!$C$18</definedName>
    <definedName name="_100h_E21">'Паус~ д.3 стр.п.12-16 ЖСК Олимп'!$C$19</definedName>
    <definedName name="_100h_E22">'Паус~ д.3 стр.п.12-16 ЖСК Олимп'!$C$20</definedName>
    <definedName name="_100h_E23">'Паус~ д.3 стр.п.12-16 ЖСК Олимп'!$C$21</definedName>
    <definedName name="_100h_E24">'Паус~ д.3 стр.п.12-16 ЖСК Олимп'!$C$22</definedName>
    <definedName name="_100h_E25">'Паус~ д.3 стр.п.12-16 ЖСК Олимп'!$C$23</definedName>
    <definedName name="_100h_E26">'Паус~ д.3 стр.п.12-16 ЖСК Олимп'!$C$24</definedName>
    <definedName name="_100h_E27">'Паус~ д.3 стр.п.12-16 ЖСК Олимп'!$C$25</definedName>
    <definedName name="_100h_E28">'Паус~ д.3 стр.п.12-16 ЖСК Олимп'!$C$26</definedName>
    <definedName name="_100h_E29">'Паус~ д.3 стр.п.12-16 ЖСК Олимп'!$C$27</definedName>
    <definedName name="_100h_E30">'Паус~ д.3 стр.п.12-16 ЖСК Олимп'!$C$28</definedName>
    <definedName name="_100h_E31">'Паус~ д.3 стр.п.12-16 ЖСК Олимп'!$C$29</definedName>
    <definedName name="_100h_E32">'Паус~ д.3 стр.п.12-16 ЖСК Олимп'!$C$30</definedName>
    <definedName name="_100h_E33">'Паус~ д.3 стр.п.12-16 ЖСК Олимп'!$C$31</definedName>
    <definedName name="_100h_E34">'Паус~ д.3 стр.п.12-16 ЖСК Олимп'!$C$32</definedName>
    <definedName name="_100h_E35">'Паус~ д.3 стр.п.12-16 ЖСК Олимп'!$C$33</definedName>
    <definedName name="_100h_E36">'Паус~ д.3 стр.п.12-16 ЖСК Олимп'!$C$34</definedName>
    <definedName name="_100h_E37">'Паус~ д.3 стр.п.12-16 ЖСК Олимп'!$C$35</definedName>
    <definedName name="_100h_E38">'Паус~ д.3 стр.п.12-16 ЖСК Олимп'!$C$36</definedName>
    <definedName name="_100h_E39">'Паус~ д.3 стр.п.12-16 ЖСК Олимп'!$C$37</definedName>
    <definedName name="_100h_E40">'Паус~ д.3 стр.п.12-16 ЖСК Олимп'!$C$38</definedName>
    <definedName name="_100h_E41">'Паус~ д.3 стр.п.12-16 ЖСК Олимп'!$C$39</definedName>
    <definedName name="_100h_E42">'Паус~ д.3 стр.п.12-16 ЖСК Олимп'!$C$40</definedName>
    <definedName name="_100h_E43">'Паус~ д.3 стр.п.12-16 ЖСК Олимп'!$C$41</definedName>
    <definedName name="_100h_E44">'Паус~ д.3 стр.п.12-16 ЖСК Олимп'!$C$42</definedName>
    <definedName name="_100h_E45">'Паус~ д.3 стр.п.12-16 ЖСК Олимп'!$C$43</definedName>
    <definedName name="_100h_E46">'Паус~ д.3 стр.п.12-16 ЖСК Олимп'!$C$44</definedName>
    <definedName name="_100h_E47">'Паус~ д.3 стр.п.12-16 ЖСК Олимп'!$C$45</definedName>
    <definedName name="_100h_E48">'Паус~ д.3 стр.п.12-16 ЖСК Олимп'!$C$46</definedName>
    <definedName name="_100h_E49">'Паус~ д.3 стр.п.12-16 ЖСК Олимп'!$C$47</definedName>
    <definedName name="_100h_E50">'Паус~ д.3 стр.п.12-16 ЖСК Олимп'!$C$48</definedName>
    <definedName name="_100h_E51">'Паус~ д.3 стр.п.12-16 ЖСК Олимп'!$C$49</definedName>
    <definedName name="_100h_E52">'Паус~ д.3 стр.п.12-16 ЖСК Олимп'!#REF!</definedName>
    <definedName name="_100h_E53">'Паус~ д.3 стр.п.12-16 ЖСК Олимп'!$C$50</definedName>
    <definedName name="_100h_E54">'Паус~ д.3 стр.п.12-16 ЖСК Олимп'!$C$51</definedName>
    <definedName name="_100h_E55">'Паус~ д.3 стр.п.12-16 ЖСК Олимп'!$C$52</definedName>
    <definedName name="_100h_E56">'Паус~ д.3 стр.п.12-16 ЖСК Олимп'!$C$53</definedName>
    <definedName name="_100h_E57">'Паус~ д.3 стр.п.12-16 ЖСК Олимп'!$C$54</definedName>
    <definedName name="_100h_E58">'Паус~ д.3 стр.п.12-16 ЖСК Олимп'!$C$55</definedName>
    <definedName name="_100h_E59">'Паус~ д.3 стр.п.12-16 ЖСК Олимп'!$C$56</definedName>
    <definedName name="_100h_E60">'Паус~ д.3 стр.п.12-16 ЖСК Олимп'!$C$57</definedName>
    <definedName name="_100h_E61">'Паус~ д.3 стр.п.12-16 ЖСК Олимп'!$C$58</definedName>
    <definedName name="_100h_E62">'Паус~ д.3 стр.п.12-16 ЖСК Олимп'!$C$59</definedName>
    <definedName name="_100h_E63">'Паус~ д.3 стр.п.12-16 ЖСК Олимп'!#REF!</definedName>
    <definedName name="_100h_E64">'Паус~ д.3 стр.п.12-16 ЖСК Олимп'!$C$60</definedName>
    <definedName name="_100h_E65">'Паус~ д.3 стр.п.12-16 ЖСК Олимп'!$C$61</definedName>
    <definedName name="_100h_E7">'Паус~ д.3 стр.п.12-16 ЖСК Олимп'!$C$5</definedName>
    <definedName name="_100h_E8">'Паус~ д.3 стр.п.12-16 ЖСК Олимп'!$C$6</definedName>
    <definedName name="_100h_E9">'Паус~ д.3 стр.п.12-16 ЖСК Олимп'!$C$7</definedName>
    <definedName name="_100h_F10">'Паус~ д.3 стр.п.12-16 ЖСК Олимп'!$D$8</definedName>
    <definedName name="_100h_F11">'Паус~ д.3 стр.п.12-16 ЖСК Олимп'!$D$9</definedName>
    <definedName name="_100h_F12">'Паус~ д.3 стр.п.12-16 ЖСК Олимп'!$D$10</definedName>
    <definedName name="_100h_F13">'Паус~ д.3 стр.п.12-16 ЖСК Олимп'!$D$11</definedName>
    <definedName name="_100h_F14">'Паус~ д.3 стр.п.12-16 ЖСК Олимп'!$D$12</definedName>
    <definedName name="_100h_F15">'Паус~ д.3 стр.п.12-16 ЖСК Олимп'!$D$13</definedName>
    <definedName name="_100h_F16">'Паус~ д.3 стр.п.12-16 ЖСК Олимп'!$D$14</definedName>
    <definedName name="_100h_F17">'Паус~ д.3 стр.п.12-16 ЖСК Олимп'!$D$15</definedName>
    <definedName name="_100h_F18">'Паус~ д.3 стр.п.12-16 ЖСК Олимп'!$D$16</definedName>
    <definedName name="_100h_F19">'Паус~ д.3 стр.п.12-16 ЖСК Олимп'!$D$17</definedName>
    <definedName name="_100h_F20">'Паус~ д.3 стр.п.12-16 ЖСК Олимп'!$D$18</definedName>
    <definedName name="_100h_F21">'Паус~ д.3 стр.п.12-16 ЖСК Олимп'!$D$19</definedName>
    <definedName name="_100h_F22">'Паус~ д.3 стр.п.12-16 ЖСК Олимп'!$D$20</definedName>
    <definedName name="_100h_F23">'Паус~ д.3 стр.п.12-16 ЖСК Олимп'!$D$21</definedName>
    <definedName name="_100h_F24">'Паус~ д.3 стр.п.12-16 ЖСК Олимп'!$D$22</definedName>
    <definedName name="_100h_F25">'Паус~ д.3 стр.п.12-16 ЖСК Олимп'!$D$23</definedName>
    <definedName name="_100h_F26">'Паус~ д.3 стр.п.12-16 ЖСК Олимп'!$D$24</definedName>
    <definedName name="_100h_F27">'Паус~ д.3 стр.п.12-16 ЖСК Олимп'!$D$25</definedName>
    <definedName name="_100h_F28">'Паус~ д.3 стр.п.12-16 ЖСК Олимп'!$D$26</definedName>
    <definedName name="_100h_F29">'Паус~ д.3 стр.п.12-16 ЖСК Олимп'!$D$27</definedName>
    <definedName name="_100h_F30">'Паус~ д.3 стр.п.12-16 ЖСК Олимп'!$D$28</definedName>
    <definedName name="_100h_F31">'Паус~ д.3 стр.п.12-16 ЖСК Олимп'!$D$29</definedName>
    <definedName name="_100h_F32">'Паус~ д.3 стр.п.12-16 ЖСК Олимп'!$D$30</definedName>
    <definedName name="_100h_F33">'Паус~ д.3 стр.п.12-16 ЖСК Олимп'!$D$31</definedName>
    <definedName name="_100h_F34">'Паус~ д.3 стр.п.12-16 ЖСК Олимп'!$D$32</definedName>
    <definedName name="_100h_F35">'Паус~ д.3 стр.п.12-16 ЖСК Олимп'!$D$33</definedName>
    <definedName name="_100h_F36">'Паус~ д.3 стр.п.12-16 ЖСК Олимп'!$D$34</definedName>
    <definedName name="_100h_F37">'Паус~ д.3 стр.п.12-16 ЖСК Олимп'!$D$35</definedName>
    <definedName name="_100h_F38">'Паус~ д.3 стр.п.12-16 ЖСК Олимп'!$D$36</definedName>
    <definedName name="_100h_F39">'Паус~ д.3 стр.п.12-16 ЖСК Олимп'!$D$37</definedName>
    <definedName name="_100h_F40">'Паус~ д.3 стр.п.12-16 ЖСК Олимп'!$D$38</definedName>
    <definedName name="_100h_F41">'Паус~ д.3 стр.п.12-16 ЖСК Олимп'!$D$39</definedName>
    <definedName name="_100h_F42">'Паус~ д.3 стр.п.12-16 ЖСК Олимп'!$D$40</definedName>
    <definedName name="_100h_F43">'Паус~ д.3 стр.п.12-16 ЖСК Олимп'!$D$41</definedName>
    <definedName name="_100h_F44">'Паус~ д.3 стр.п.12-16 ЖСК Олимп'!$D$42</definedName>
    <definedName name="_100h_F45">'Паус~ д.3 стр.п.12-16 ЖСК Олимп'!$D$43</definedName>
    <definedName name="_100h_F46">'Паус~ д.3 стр.п.12-16 ЖСК Олимп'!$D$44</definedName>
    <definedName name="_100h_F47">'Паус~ д.3 стр.п.12-16 ЖСК Олимп'!$D$45</definedName>
    <definedName name="_100h_F48">'Паус~ д.3 стр.п.12-16 ЖСК Олимп'!$D$46</definedName>
    <definedName name="_100h_F49">'Паус~ д.3 стр.п.12-16 ЖСК Олимп'!$D$47</definedName>
    <definedName name="_100h_F50">'Паус~ д.3 стр.п.12-16 ЖСК Олимп'!$D$48</definedName>
    <definedName name="_100h_F51">'Паус~ д.3 стр.п.12-16 ЖСК Олимп'!$D$49</definedName>
    <definedName name="_100h_F52">'Паус~ д.3 стр.п.12-16 ЖСК Олимп'!#REF!</definedName>
    <definedName name="_100h_F53">'Паус~ д.3 стр.п.12-16 ЖСК Олимп'!$D$50</definedName>
    <definedName name="_100h_F54">'Паус~ д.3 стр.п.12-16 ЖСК Олимп'!$D$51</definedName>
    <definedName name="_100h_F55">'Паус~ д.3 стр.п.12-16 ЖСК Олимп'!$D$52</definedName>
    <definedName name="_100h_F56">'Паус~ д.3 стр.п.12-16 ЖСК Олимп'!$D$53</definedName>
    <definedName name="_100h_F57">'Паус~ д.3 стр.п.12-16 ЖСК Олимп'!$D$54</definedName>
    <definedName name="_100h_F58">'Паус~ д.3 стр.п.12-16 ЖСК Олимп'!$D$55</definedName>
    <definedName name="_100h_F59">'Паус~ д.3 стр.п.12-16 ЖСК Олимп'!$D$56</definedName>
    <definedName name="_100h_F60">'Паус~ д.3 стр.п.12-16 ЖСК Олимп'!$D$57</definedName>
    <definedName name="_100h_F61">'Паус~ д.3 стр.п.12-16 ЖСК Олимп'!$D$58</definedName>
    <definedName name="_100h_F62">'Паус~ д.3 стр.п.12-16 ЖСК Олимп'!$D$59</definedName>
    <definedName name="_100h_F63">'Паус~ д.3 стр.п.12-16 ЖСК Олимп'!#REF!</definedName>
    <definedName name="_100h_F64">'Паус~ д.3 стр.п.12-16 ЖСК Олимп'!$D$60</definedName>
    <definedName name="_100h_F65">'Паус~ д.3 стр.п.12-16 ЖСК Олимп'!$D$61</definedName>
    <definedName name="_100h_F7">'Паус~ д.3 стр.п.12-16 ЖСК Олимп'!$D$5</definedName>
    <definedName name="_100h_F8">'Паус~ д.3 стр.п.12-16 ЖСК Олимп'!$D$6</definedName>
    <definedName name="_100h_F9">'Паус~ д.3 стр.п.12-16 ЖСК Олимп'!$D$7</definedName>
    <definedName name="_101h_E10">'П~ д.4 стр.п.1-2,8-11,17-18 '!$C$8</definedName>
    <definedName name="_101h_E11">'П~ д.4 стр.п.1-2,8-11,17-18 '!$C$9</definedName>
    <definedName name="_101h_E12">'П~ д.4 стр.п.1-2,8-11,17-18 '!$C$10</definedName>
    <definedName name="_101h_E13">'П~ д.4 стр.п.1-2,8-11,17-18 '!$C$11</definedName>
    <definedName name="_101h_E14">'П~ д.4 стр.п.1-2,8-11,17-18 '!$C$12</definedName>
    <definedName name="_101h_E15">'П~ д.4 стр.п.1-2,8-11,17-18 '!$C$13</definedName>
    <definedName name="_101h_E16">'П~ д.4 стр.п.1-2,8-11,17-18 '!$C$14</definedName>
    <definedName name="_101h_E17">'П~ д.4 стр.п.1-2,8-11,17-18 '!$C$15</definedName>
    <definedName name="_101h_E18">'П~ д.4 стр.п.1-2,8-11,17-18 '!$C$16</definedName>
    <definedName name="_101h_E19">'П~ д.4 стр.п.1-2,8-11,17-18 '!$C$17</definedName>
    <definedName name="_101h_E20">'П~ д.4 стр.п.1-2,8-11,17-18 '!$C$18</definedName>
    <definedName name="_101h_E21">'П~ д.4 стр.п.1-2,8-11,17-18 '!$C$19</definedName>
    <definedName name="_101h_E22">'П~ д.4 стр.п.1-2,8-11,17-18 '!$C$20</definedName>
    <definedName name="_101h_E23">'П~ д.4 стр.п.1-2,8-11,17-18 '!$C$21</definedName>
    <definedName name="_101h_E24">'П~ д.4 стр.п.1-2,8-11,17-18 '!$C$22</definedName>
    <definedName name="_101h_E25">'П~ д.4 стр.п.1-2,8-11,17-18 '!$C$23</definedName>
    <definedName name="_101h_E26">'П~ д.4 стр.п.1-2,8-11,17-18 '!$C$24</definedName>
    <definedName name="_101h_E27">'П~ д.4 стр.п.1-2,8-11,17-18 '!$C$25</definedName>
    <definedName name="_101h_E28">'П~ д.4 стр.п.1-2,8-11,17-18 '!$C$26</definedName>
    <definedName name="_101h_E29">'П~ д.4 стр.п.1-2,8-11,17-18 '!$C$27</definedName>
    <definedName name="_101h_E30">'П~ д.4 стр.п.1-2,8-11,17-18 '!$C$28</definedName>
    <definedName name="_101h_E31">'П~ д.4 стр.п.1-2,8-11,17-18 '!$C$29</definedName>
    <definedName name="_101h_E32">'П~ д.4 стр.п.1-2,8-11,17-18 '!$C$30</definedName>
    <definedName name="_101h_E33">'П~ д.4 стр.п.1-2,8-11,17-18 '!$C$31</definedName>
    <definedName name="_101h_E34">'П~ д.4 стр.п.1-2,8-11,17-18 '!$C$32</definedName>
    <definedName name="_101h_E35">'П~ д.4 стр.п.1-2,8-11,17-18 '!$C$33</definedName>
    <definedName name="_101h_E36">'П~ д.4 стр.п.1-2,8-11,17-18 '!$C$34</definedName>
    <definedName name="_101h_E37">'П~ д.4 стр.п.1-2,8-11,17-18 '!$C$35</definedName>
    <definedName name="_101h_E38">'П~ д.4 стр.п.1-2,8-11,17-18 '!$C$36</definedName>
    <definedName name="_101h_E39">'П~ д.4 стр.п.1-2,8-11,17-18 '!$C$37</definedName>
    <definedName name="_101h_E40">'П~ д.4 стр.п.1-2,8-11,17-18 '!$C$38</definedName>
    <definedName name="_101h_E41">'П~ д.4 стр.п.1-2,8-11,17-18 '!$C$39</definedName>
    <definedName name="_101h_E42">'П~ д.4 стр.п.1-2,8-11,17-18 '!$C$40</definedName>
    <definedName name="_101h_E43">'П~ д.4 стр.п.1-2,8-11,17-18 '!$C$41</definedName>
    <definedName name="_101h_E44">'П~ д.4 стр.п.1-2,8-11,17-18 '!$C$42</definedName>
    <definedName name="_101h_E45">'П~ д.4 стр.п.1-2,8-11,17-18 '!$C$43</definedName>
    <definedName name="_101h_E46">'П~ д.4 стр.п.1-2,8-11,17-18 '!$C$44</definedName>
    <definedName name="_101h_E47">'П~ д.4 стр.п.1-2,8-11,17-18 '!$C$45</definedName>
    <definedName name="_101h_E48">'П~ д.4 стр.п.1-2,8-11,17-18 '!$C$46</definedName>
    <definedName name="_101h_E49">'П~ д.4 стр.п.1-2,8-11,17-18 '!$C$47</definedName>
    <definedName name="_101h_E50">'П~ д.4 стр.п.1-2,8-11,17-18 '!$C$48</definedName>
    <definedName name="_101h_E51">'П~ д.4 стр.п.1-2,8-11,17-18 '!$C$49</definedName>
    <definedName name="_101h_E52">'П~ д.4 стр.п.1-2,8-11,17-18 '!#REF!</definedName>
    <definedName name="_101h_E53">'П~ д.4 стр.п.1-2,8-11,17-18 '!$C$50</definedName>
    <definedName name="_101h_E54">'П~ д.4 стр.п.1-2,8-11,17-18 '!$C$51</definedName>
    <definedName name="_101h_E55">'П~ д.4 стр.п.1-2,8-11,17-18 '!$C$52</definedName>
    <definedName name="_101h_E56">'П~ д.4 стр.п.1-2,8-11,17-18 '!$C$53</definedName>
    <definedName name="_101h_E57">'П~ д.4 стр.п.1-2,8-11,17-18 '!$C$54</definedName>
    <definedName name="_101h_E58">'П~ д.4 стр.п.1-2,8-11,17-18 '!$C$55</definedName>
    <definedName name="_101h_E59">'П~ д.4 стр.п.1-2,8-11,17-18 '!$C$56</definedName>
    <definedName name="_101h_E60">'П~ д.4 стр.п.1-2,8-11,17-18 '!$C$57</definedName>
    <definedName name="_101h_E61">'П~ д.4 стр.п.1-2,8-11,17-18 '!$C$58</definedName>
    <definedName name="_101h_E62">'П~ д.4 стр.п.1-2,8-11,17-18 '!$C$59</definedName>
    <definedName name="_101h_E63">'П~ д.4 стр.п.1-2,8-11,17-18 '!#REF!</definedName>
    <definedName name="_101h_E64">'П~ д.4 стр.п.1-2,8-11,17-18 '!$C$60</definedName>
    <definedName name="_101h_E65">'П~ д.4 стр.п.1-2,8-11,17-18 '!$C$61</definedName>
    <definedName name="_101h_E7">'П~ д.4 стр.п.1-2,8-11,17-18 '!$C$5</definedName>
    <definedName name="_101h_E8">'П~ д.4 стр.п.1-2,8-11,17-18 '!$C$6</definedName>
    <definedName name="_101h_E9">'П~ д.4 стр.п.1-2,8-11,17-18 '!$C$7</definedName>
    <definedName name="_101h_F10">'П~ д.4 стр.п.1-2,8-11,17-18 '!$D$8</definedName>
    <definedName name="_101h_F11">'П~ д.4 стр.п.1-2,8-11,17-18 '!$D$9</definedName>
    <definedName name="_101h_F12">'П~ д.4 стр.п.1-2,8-11,17-18 '!$D$10</definedName>
    <definedName name="_101h_F13">'П~ д.4 стр.п.1-2,8-11,17-18 '!$D$11</definedName>
    <definedName name="_101h_F14">'П~ д.4 стр.п.1-2,8-11,17-18 '!$D$12</definedName>
    <definedName name="_101h_F15">'П~ д.4 стр.п.1-2,8-11,17-18 '!$D$13</definedName>
    <definedName name="_101h_F16">'П~ д.4 стр.п.1-2,8-11,17-18 '!$D$14</definedName>
    <definedName name="_101h_F17">'П~ д.4 стр.п.1-2,8-11,17-18 '!$D$15</definedName>
    <definedName name="_101h_F18">'П~ д.4 стр.п.1-2,8-11,17-18 '!$D$16</definedName>
    <definedName name="_101h_F19">'П~ д.4 стр.п.1-2,8-11,17-18 '!$D$17</definedName>
    <definedName name="_101h_F20">'П~ д.4 стр.п.1-2,8-11,17-18 '!$D$18</definedName>
    <definedName name="_101h_F21">'П~ д.4 стр.п.1-2,8-11,17-18 '!$D$19</definedName>
    <definedName name="_101h_F22">'П~ д.4 стр.п.1-2,8-11,17-18 '!$D$20</definedName>
    <definedName name="_101h_F23">'П~ д.4 стр.п.1-2,8-11,17-18 '!$D$21</definedName>
    <definedName name="_101h_F24">'П~ д.4 стр.п.1-2,8-11,17-18 '!$D$22</definedName>
    <definedName name="_101h_F25">'П~ д.4 стр.п.1-2,8-11,17-18 '!$D$23</definedName>
    <definedName name="_101h_F26">'П~ д.4 стр.п.1-2,8-11,17-18 '!$D$24</definedName>
    <definedName name="_101h_F27">'П~ д.4 стр.п.1-2,8-11,17-18 '!$D$25</definedName>
    <definedName name="_101h_F28">'П~ д.4 стр.п.1-2,8-11,17-18 '!$D$26</definedName>
    <definedName name="_101h_F29">'П~ д.4 стр.п.1-2,8-11,17-18 '!$D$27</definedName>
    <definedName name="_101h_F30">'П~ д.4 стр.п.1-2,8-11,17-18 '!$D$28</definedName>
    <definedName name="_101h_F31">'П~ д.4 стр.п.1-2,8-11,17-18 '!$D$29</definedName>
    <definedName name="_101h_F32">'П~ д.4 стр.п.1-2,8-11,17-18 '!$D$30</definedName>
    <definedName name="_101h_F33">'П~ д.4 стр.п.1-2,8-11,17-18 '!$D$31</definedName>
    <definedName name="_101h_F34">'П~ д.4 стр.п.1-2,8-11,17-18 '!$D$32</definedName>
    <definedName name="_101h_F35">'П~ д.4 стр.п.1-2,8-11,17-18 '!$D$33</definedName>
    <definedName name="_101h_F36">'П~ д.4 стр.п.1-2,8-11,17-18 '!$D$34</definedName>
    <definedName name="_101h_F37">'П~ д.4 стр.п.1-2,8-11,17-18 '!$D$35</definedName>
    <definedName name="_101h_F38">'П~ д.4 стр.п.1-2,8-11,17-18 '!$D$36</definedName>
    <definedName name="_101h_F39">'П~ д.4 стр.п.1-2,8-11,17-18 '!$D$37</definedName>
    <definedName name="_101h_F40">'П~ д.4 стр.п.1-2,8-11,17-18 '!$D$38</definedName>
    <definedName name="_101h_F41">'П~ д.4 стр.п.1-2,8-11,17-18 '!$D$39</definedName>
    <definedName name="_101h_F42">'П~ д.4 стр.п.1-2,8-11,17-18 '!$D$40</definedName>
    <definedName name="_101h_F43">'П~ д.4 стр.п.1-2,8-11,17-18 '!$D$41</definedName>
    <definedName name="_101h_F44">'П~ д.4 стр.п.1-2,8-11,17-18 '!$D$42</definedName>
    <definedName name="_101h_F45">'П~ д.4 стр.п.1-2,8-11,17-18 '!$D$43</definedName>
    <definedName name="_101h_F46">'П~ д.4 стр.п.1-2,8-11,17-18 '!$D$44</definedName>
    <definedName name="_101h_F47">'П~ д.4 стр.п.1-2,8-11,17-18 '!$D$45</definedName>
    <definedName name="_101h_F48">'П~ д.4 стр.п.1-2,8-11,17-18 '!$D$46</definedName>
    <definedName name="_101h_F49">'П~ д.4 стр.п.1-2,8-11,17-18 '!$D$47</definedName>
    <definedName name="_101h_F50">'П~ д.4 стр.п.1-2,8-11,17-18 '!$D$48</definedName>
    <definedName name="_101h_F51">'П~ д.4 стр.п.1-2,8-11,17-18 '!$D$49</definedName>
    <definedName name="_101h_F52">'П~ д.4 стр.п.1-2,8-11,17-18 '!#REF!</definedName>
    <definedName name="_101h_F53">'П~ д.4 стр.п.1-2,8-11,17-18 '!$D$50</definedName>
    <definedName name="_101h_F54">'П~ д.4 стр.п.1-2,8-11,17-18 '!$D$51</definedName>
    <definedName name="_101h_F55">'П~ д.4 стр.п.1-2,8-11,17-18 '!$D$52</definedName>
    <definedName name="_101h_F56">'П~ д.4 стр.п.1-2,8-11,17-18 '!$D$53</definedName>
    <definedName name="_101h_F57">'П~ д.4 стр.п.1-2,8-11,17-18 '!$D$54</definedName>
    <definedName name="_101h_F58">'П~ д.4 стр.п.1-2,8-11,17-18 '!$D$55</definedName>
    <definedName name="_101h_F59">'П~ д.4 стр.п.1-2,8-11,17-18 '!$D$56</definedName>
    <definedName name="_101h_F60">'П~ д.4 стр.п.1-2,8-11,17-18 '!$D$57</definedName>
    <definedName name="_101h_F61">'П~ д.4 стр.п.1-2,8-11,17-18 '!$D$58</definedName>
    <definedName name="_101h_F62">'П~ д.4 стр.п.1-2,8-11,17-18 '!$D$59</definedName>
    <definedName name="_101h_F63">'П~ д.4 стр.п.1-2,8-11,17-18 '!#REF!</definedName>
    <definedName name="_101h_F64">'П~ д.4 стр.п.1-2,8-11,17-18 '!$D$60</definedName>
    <definedName name="_101h_F65">'П~ д.4 стр.п.1-2,8-11,17-18 '!$D$61</definedName>
    <definedName name="_101h_F7">'П~ д.4 стр.п.1-2,8-11,17-18 '!$D$5</definedName>
    <definedName name="_101h_F8">'П~ д.4 стр.п.1-2,8-11,17-18 '!$D$6</definedName>
    <definedName name="_101h_F9">'П~ д.4 стр.п.1-2,8-11,17-18 '!$D$7</definedName>
    <definedName name="_102h_E10">'Пау~ д.4 стр.п.3-7 ЖСК Вибратор'!$C$8</definedName>
    <definedName name="_102h_E11">'Пау~ д.4 стр.п.3-7 ЖСК Вибратор'!$C$9</definedName>
    <definedName name="_102h_E12">'Пау~ д.4 стр.п.3-7 ЖСК Вибратор'!$C$10</definedName>
    <definedName name="_102h_E13">'Пау~ д.4 стр.п.3-7 ЖСК Вибратор'!$C$11</definedName>
    <definedName name="_102h_E14">'Пау~ д.4 стр.п.3-7 ЖСК Вибратор'!$C$12</definedName>
    <definedName name="_102h_E15">'Пау~ д.4 стр.п.3-7 ЖСК Вибратор'!$C$13</definedName>
    <definedName name="_102h_E16">'Пау~ д.4 стр.п.3-7 ЖСК Вибратор'!$C$14</definedName>
    <definedName name="_102h_E17">'Пау~ д.4 стр.п.3-7 ЖСК Вибратор'!$C$15</definedName>
    <definedName name="_102h_E18">'Пау~ д.4 стр.п.3-7 ЖСК Вибратор'!$C$16</definedName>
    <definedName name="_102h_E19">'Пау~ д.4 стр.п.3-7 ЖСК Вибратор'!$C$17</definedName>
    <definedName name="_102h_E20">'Пау~ д.4 стр.п.3-7 ЖСК Вибратор'!$C$18</definedName>
    <definedName name="_102h_E21">'Пау~ д.4 стр.п.3-7 ЖСК Вибратор'!$C$19</definedName>
    <definedName name="_102h_E22">'Пау~ д.4 стр.п.3-7 ЖСК Вибратор'!$C$20</definedName>
    <definedName name="_102h_E23">'Пау~ д.4 стр.п.3-7 ЖСК Вибратор'!$C$21</definedName>
    <definedName name="_102h_E24">'Пау~ д.4 стр.п.3-7 ЖСК Вибратор'!$C$22</definedName>
    <definedName name="_102h_E25">'Пау~ д.4 стр.п.3-7 ЖСК Вибратор'!$C$23</definedName>
    <definedName name="_102h_E26">'Пау~ д.4 стр.п.3-7 ЖСК Вибратор'!$C$24</definedName>
    <definedName name="_102h_E27">'Пау~ д.4 стр.п.3-7 ЖСК Вибратор'!$C$25</definedName>
    <definedName name="_102h_E28">'Пау~ д.4 стр.п.3-7 ЖСК Вибратор'!$C$26</definedName>
    <definedName name="_102h_E29">'Пау~ д.4 стр.п.3-7 ЖСК Вибратор'!$C$27</definedName>
    <definedName name="_102h_E30">'Пау~ д.4 стр.п.3-7 ЖСК Вибратор'!$C$28</definedName>
    <definedName name="_102h_E31">'Пау~ д.4 стр.п.3-7 ЖСК Вибратор'!$C$29</definedName>
    <definedName name="_102h_E32">'Пау~ д.4 стр.п.3-7 ЖСК Вибратор'!$C$30</definedName>
    <definedName name="_102h_E33">'Пау~ д.4 стр.п.3-7 ЖСК Вибратор'!$C$31</definedName>
    <definedName name="_102h_E34">'Пау~ д.4 стр.п.3-7 ЖСК Вибратор'!$C$32</definedName>
    <definedName name="_102h_E35">'Пау~ д.4 стр.п.3-7 ЖСК Вибратор'!$C$33</definedName>
    <definedName name="_102h_E36">'Пау~ д.4 стр.п.3-7 ЖСК Вибратор'!$C$34</definedName>
    <definedName name="_102h_E37">'Пау~ д.4 стр.п.3-7 ЖСК Вибратор'!$C$35</definedName>
    <definedName name="_102h_E38">'Пау~ д.4 стр.п.3-7 ЖСК Вибратор'!$C$36</definedName>
    <definedName name="_102h_E39">'Пау~ д.4 стр.п.3-7 ЖСК Вибратор'!$C$37</definedName>
    <definedName name="_102h_E40">'Пау~ д.4 стр.п.3-7 ЖСК Вибратор'!$C$38</definedName>
    <definedName name="_102h_E41">'Пау~ д.4 стр.п.3-7 ЖСК Вибратор'!$C$39</definedName>
    <definedName name="_102h_E42">'Пау~ д.4 стр.п.3-7 ЖСК Вибратор'!$C$40</definedName>
    <definedName name="_102h_E43">'Пау~ д.4 стр.п.3-7 ЖСК Вибратор'!$C$41</definedName>
    <definedName name="_102h_E44">'Пау~ д.4 стр.п.3-7 ЖСК Вибратор'!$C$42</definedName>
    <definedName name="_102h_E45">'Пау~ д.4 стр.п.3-7 ЖСК Вибратор'!$C$43</definedName>
    <definedName name="_102h_E46">'Пау~ д.4 стр.п.3-7 ЖСК Вибратор'!$C$44</definedName>
    <definedName name="_102h_E47">'Пау~ д.4 стр.п.3-7 ЖСК Вибратор'!$C$45</definedName>
    <definedName name="_102h_E48">'Пау~ д.4 стр.п.3-7 ЖСК Вибратор'!$C$46</definedName>
    <definedName name="_102h_E49">'Пау~ д.4 стр.п.3-7 ЖСК Вибратор'!$C$47</definedName>
    <definedName name="_102h_E50">'Пау~ д.4 стр.п.3-7 ЖСК Вибратор'!$C$48</definedName>
    <definedName name="_102h_E51">'Пау~ д.4 стр.п.3-7 ЖСК Вибратор'!$C$49</definedName>
    <definedName name="_102h_E52">'Пау~ д.4 стр.п.3-7 ЖСК Вибратор'!#REF!</definedName>
    <definedName name="_102h_E53">'Пау~ д.4 стр.п.3-7 ЖСК Вибратор'!$C$50</definedName>
    <definedName name="_102h_E54">'Пау~ д.4 стр.п.3-7 ЖСК Вибратор'!$C$51</definedName>
    <definedName name="_102h_E55">'Пау~ д.4 стр.п.3-7 ЖСК Вибратор'!$C$52</definedName>
    <definedName name="_102h_E56">'Пау~ д.4 стр.п.3-7 ЖСК Вибратор'!$C$53</definedName>
    <definedName name="_102h_E57">'Пау~ д.4 стр.п.3-7 ЖСК Вибратор'!$C$54</definedName>
    <definedName name="_102h_E58">'Пау~ д.4 стр.п.3-7 ЖСК Вибратор'!$C$55</definedName>
    <definedName name="_102h_E59">'Пау~ д.4 стр.п.3-7 ЖСК Вибратор'!$C$56</definedName>
    <definedName name="_102h_E60">'Пау~ д.4 стр.п.3-7 ЖСК Вибратор'!$C$57</definedName>
    <definedName name="_102h_E61">'Пау~ д.4 стр.п.3-7 ЖСК Вибратор'!$C$58</definedName>
    <definedName name="_102h_E62">'Пау~ д.4 стр.п.3-7 ЖСК Вибратор'!$C$59</definedName>
    <definedName name="_102h_E63">'Пау~ д.4 стр.п.3-7 ЖСК Вибратор'!#REF!</definedName>
    <definedName name="_102h_E64">'Пау~ д.4 стр.п.3-7 ЖСК Вибратор'!$C$60</definedName>
    <definedName name="_102h_E65">'Пау~ д.4 стр.п.3-7 ЖСК Вибратор'!$C$61</definedName>
    <definedName name="_102h_E7">'Пау~ д.4 стр.п.3-7 ЖСК Вибратор'!$C$5</definedName>
    <definedName name="_102h_E8">'Пау~ д.4 стр.п.3-7 ЖСК Вибратор'!$C$6</definedName>
    <definedName name="_102h_E9">'Пау~ д.4 стр.п.3-7 ЖСК Вибратор'!$C$7</definedName>
    <definedName name="_102h_F10">'Пау~ д.4 стр.п.3-7 ЖСК Вибратор'!$D$8</definedName>
    <definedName name="_102h_F11">'Пау~ д.4 стр.п.3-7 ЖСК Вибратор'!$D$9</definedName>
    <definedName name="_102h_F12">'Пау~ д.4 стр.п.3-7 ЖСК Вибратор'!$D$10</definedName>
    <definedName name="_102h_F13">'Пау~ д.4 стр.п.3-7 ЖСК Вибратор'!$D$11</definedName>
    <definedName name="_102h_F14">'Пау~ д.4 стр.п.3-7 ЖСК Вибратор'!$D$12</definedName>
    <definedName name="_102h_F15">'Пау~ д.4 стр.п.3-7 ЖСК Вибратор'!$D$13</definedName>
    <definedName name="_102h_F16">'Пау~ д.4 стр.п.3-7 ЖСК Вибратор'!$D$14</definedName>
    <definedName name="_102h_F17">'Пау~ д.4 стр.п.3-7 ЖСК Вибратор'!$D$15</definedName>
    <definedName name="_102h_F18">'Пау~ д.4 стр.п.3-7 ЖСК Вибратор'!$D$16</definedName>
    <definedName name="_102h_F19">'Пау~ д.4 стр.п.3-7 ЖСК Вибратор'!$D$17</definedName>
    <definedName name="_102h_F20">'Пау~ д.4 стр.п.3-7 ЖСК Вибратор'!$D$18</definedName>
    <definedName name="_102h_F21">'Пау~ д.4 стр.п.3-7 ЖСК Вибратор'!$D$19</definedName>
    <definedName name="_102h_F22">'Пау~ д.4 стр.п.3-7 ЖСК Вибратор'!$D$20</definedName>
    <definedName name="_102h_F23">'Пау~ д.4 стр.п.3-7 ЖСК Вибратор'!$D$21</definedName>
    <definedName name="_102h_F24">'Пау~ д.4 стр.п.3-7 ЖСК Вибратор'!$D$22</definedName>
    <definedName name="_102h_F25">'Пау~ д.4 стр.п.3-7 ЖСК Вибратор'!$D$23</definedName>
    <definedName name="_102h_F26">'Пау~ д.4 стр.п.3-7 ЖСК Вибратор'!$D$24</definedName>
    <definedName name="_102h_F27">'Пау~ д.4 стр.п.3-7 ЖСК Вибратор'!$D$25</definedName>
    <definedName name="_102h_F28">'Пау~ д.4 стр.п.3-7 ЖСК Вибратор'!$D$26</definedName>
    <definedName name="_102h_F29">'Пау~ д.4 стр.п.3-7 ЖСК Вибратор'!$D$27</definedName>
    <definedName name="_102h_F30">'Пау~ д.4 стр.п.3-7 ЖСК Вибратор'!$D$28</definedName>
    <definedName name="_102h_F31">'Пау~ д.4 стр.п.3-7 ЖСК Вибратор'!$D$29</definedName>
    <definedName name="_102h_F32">'Пау~ д.4 стр.п.3-7 ЖСК Вибратор'!$D$30</definedName>
    <definedName name="_102h_F33">'Пау~ д.4 стр.п.3-7 ЖСК Вибратор'!$D$31</definedName>
    <definedName name="_102h_F34">'Пау~ д.4 стр.п.3-7 ЖСК Вибратор'!$D$32</definedName>
    <definedName name="_102h_F35">'Пау~ д.4 стр.п.3-7 ЖСК Вибратор'!$D$33</definedName>
    <definedName name="_102h_F36">'Пау~ д.4 стр.п.3-7 ЖСК Вибратор'!$D$34</definedName>
    <definedName name="_102h_F37">'Пау~ д.4 стр.п.3-7 ЖСК Вибратор'!$D$35</definedName>
    <definedName name="_102h_F38">'Пау~ д.4 стр.п.3-7 ЖСК Вибратор'!$D$36</definedName>
    <definedName name="_102h_F39">'Пау~ д.4 стр.п.3-7 ЖСК Вибратор'!$D$37</definedName>
    <definedName name="_102h_F40">'Пау~ д.4 стр.п.3-7 ЖСК Вибратор'!$D$38</definedName>
    <definedName name="_102h_F41">'Пау~ д.4 стр.п.3-7 ЖСК Вибратор'!$D$39</definedName>
    <definedName name="_102h_F42">'Пау~ д.4 стр.п.3-7 ЖСК Вибратор'!$D$40</definedName>
    <definedName name="_102h_F43">'Пау~ д.4 стр.п.3-7 ЖСК Вибратор'!$D$41</definedName>
    <definedName name="_102h_F44">'Пау~ д.4 стр.п.3-7 ЖСК Вибратор'!$D$42</definedName>
    <definedName name="_102h_F45">'Пау~ д.4 стр.п.3-7 ЖСК Вибратор'!$D$43</definedName>
    <definedName name="_102h_F46">'Пау~ д.4 стр.п.3-7 ЖСК Вибратор'!$D$44</definedName>
    <definedName name="_102h_F47">'Пау~ д.4 стр.п.3-7 ЖСК Вибратор'!$D$45</definedName>
    <definedName name="_102h_F48">'Пау~ д.4 стр.п.3-7 ЖСК Вибратор'!$D$46</definedName>
    <definedName name="_102h_F49">'Пау~ д.4 стр.п.3-7 ЖСК Вибратор'!$D$47</definedName>
    <definedName name="_102h_F50">'Пау~ д.4 стр.п.3-7 ЖСК Вибратор'!$D$48</definedName>
    <definedName name="_102h_F51">'Пау~ д.4 стр.п.3-7 ЖСК Вибратор'!$D$49</definedName>
    <definedName name="_102h_F52">'Пау~ д.4 стр.п.3-7 ЖСК Вибратор'!#REF!</definedName>
    <definedName name="_102h_F53">'Пау~ д.4 стр.п.3-7 ЖСК Вибратор'!$D$50</definedName>
    <definedName name="_102h_F54">'Пау~ д.4 стр.п.3-7 ЖСК Вибратор'!$D$51</definedName>
    <definedName name="_102h_F55">'Пау~ д.4 стр.п.3-7 ЖСК Вибратор'!$D$52</definedName>
    <definedName name="_102h_F56">'Пау~ д.4 стр.п.3-7 ЖСК Вибратор'!$D$53</definedName>
    <definedName name="_102h_F57">'Пау~ д.4 стр.п.3-7 ЖСК Вибратор'!$D$54</definedName>
    <definedName name="_102h_F58">'Пау~ д.4 стр.п.3-7 ЖСК Вибратор'!$D$55</definedName>
    <definedName name="_102h_F59">'Пау~ д.4 стр.п.3-7 ЖСК Вибратор'!$D$56</definedName>
    <definedName name="_102h_F60">'Пау~ д.4 стр.п.3-7 ЖСК Вибратор'!$D$57</definedName>
    <definedName name="_102h_F61">'Пау~ д.4 стр.п.3-7 ЖСК Вибратор'!$D$58</definedName>
    <definedName name="_102h_F62">'Пау~ д.4 стр.п.3-7 ЖСК Вибратор'!$D$59</definedName>
    <definedName name="_102h_F63">'Пау~ д.4 стр.п.3-7 ЖСК Вибратор'!#REF!</definedName>
    <definedName name="_102h_F64">'Пау~ д.4 стр.п.3-7 ЖСК Вибратор'!$D$60</definedName>
    <definedName name="_102h_F65">'Пау~ д.4 стр.п.3-7 ЖСК Вибратор'!$D$61</definedName>
    <definedName name="_102h_F7">'Пау~ д.4 стр.п.3-7 ЖСК Вибратор'!$D$5</definedName>
    <definedName name="_102h_F8">'Пау~ д.4 стр.п.3-7 ЖСК Вибратор'!$D$6</definedName>
    <definedName name="_102h_F9">'Пау~ д.4 стр.п.3-7 ЖСК Вибратор'!$D$7</definedName>
    <definedName name="_103h_E10">'П~ д.4 стр.п.12-16 ЖСК Геостром'!$C$8</definedName>
    <definedName name="_103h_E11">'П~ д.4 стр.п.12-16 ЖСК Геостром'!$C$9</definedName>
    <definedName name="_103h_E12">'П~ д.4 стр.п.12-16 ЖСК Геостром'!$C$10</definedName>
    <definedName name="_103h_E13">'П~ д.4 стр.п.12-16 ЖСК Геостром'!$C$11</definedName>
    <definedName name="_103h_E14">'П~ д.4 стр.п.12-16 ЖСК Геостром'!$C$12</definedName>
    <definedName name="_103h_E15">'П~ д.4 стр.п.12-16 ЖСК Геостром'!$C$13</definedName>
    <definedName name="_103h_E16">'П~ д.4 стр.п.12-16 ЖСК Геостром'!$C$14</definedName>
    <definedName name="_103h_E17">'П~ д.4 стр.п.12-16 ЖСК Геостром'!$C$15</definedName>
    <definedName name="_103h_E18">'П~ д.4 стр.п.12-16 ЖСК Геостром'!$C$16</definedName>
    <definedName name="_103h_E19">'П~ д.4 стр.п.12-16 ЖСК Геостром'!$C$17</definedName>
    <definedName name="_103h_E20">'П~ д.4 стр.п.12-16 ЖСК Геостром'!$C$18</definedName>
    <definedName name="_103h_E21">'П~ д.4 стр.п.12-16 ЖСК Геостром'!$C$19</definedName>
    <definedName name="_103h_E22">'П~ д.4 стр.п.12-16 ЖСК Геостром'!$C$20</definedName>
    <definedName name="_103h_E23">'П~ д.4 стр.п.12-16 ЖСК Геостром'!$C$21</definedName>
    <definedName name="_103h_E24">'П~ д.4 стр.п.12-16 ЖСК Геостром'!$C$22</definedName>
    <definedName name="_103h_E25">'П~ д.4 стр.п.12-16 ЖСК Геостром'!$C$23</definedName>
    <definedName name="_103h_E26">'П~ д.4 стр.п.12-16 ЖСК Геостром'!$C$24</definedName>
    <definedName name="_103h_E27">'П~ д.4 стр.п.12-16 ЖСК Геостром'!$C$25</definedName>
    <definedName name="_103h_E28">'П~ д.4 стр.п.12-16 ЖСК Геостром'!$C$26</definedName>
    <definedName name="_103h_E29">'П~ д.4 стр.п.12-16 ЖСК Геостром'!$C$27</definedName>
    <definedName name="_103h_E30">'П~ д.4 стр.п.12-16 ЖСК Геостром'!$C$28</definedName>
    <definedName name="_103h_E31">'П~ д.4 стр.п.12-16 ЖСК Геостром'!$C$29</definedName>
    <definedName name="_103h_E32">'П~ д.4 стр.п.12-16 ЖСК Геостром'!$C$30</definedName>
    <definedName name="_103h_E33">'П~ д.4 стр.п.12-16 ЖСК Геостром'!$C$31</definedName>
    <definedName name="_103h_E34">'П~ д.4 стр.п.12-16 ЖСК Геостром'!$C$32</definedName>
    <definedName name="_103h_E35">'П~ д.4 стр.п.12-16 ЖСК Геостром'!$C$33</definedName>
    <definedName name="_103h_E36">'П~ д.4 стр.п.12-16 ЖСК Геостром'!$C$34</definedName>
    <definedName name="_103h_E37">'П~ д.4 стр.п.12-16 ЖСК Геостром'!$C$35</definedName>
    <definedName name="_103h_E38">'П~ д.4 стр.п.12-16 ЖСК Геостром'!$C$36</definedName>
    <definedName name="_103h_E39">'П~ д.4 стр.п.12-16 ЖСК Геостром'!$C$37</definedName>
    <definedName name="_103h_E40">'П~ д.4 стр.п.12-16 ЖСК Геостром'!$C$38</definedName>
    <definedName name="_103h_E41">'П~ д.4 стр.п.12-16 ЖСК Геостром'!$C$39</definedName>
    <definedName name="_103h_E42">'П~ д.4 стр.п.12-16 ЖСК Геостром'!$C$40</definedName>
    <definedName name="_103h_E43">'П~ д.4 стр.п.12-16 ЖСК Геостром'!$C$41</definedName>
    <definedName name="_103h_E44">'П~ д.4 стр.п.12-16 ЖСК Геостром'!$C$42</definedName>
    <definedName name="_103h_E45">'П~ д.4 стр.п.12-16 ЖСК Геостром'!$C$43</definedName>
    <definedName name="_103h_E46">'П~ д.4 стр.п.12-16 ЖСК Геостром'!$C$44</definedName>
    <definedName name="_103h_E47">'П~ д.4 стр.п.12-16 ЖСК Геостром'!$C$45</definedName>
    <definedName name="_103h_E48">'П~ д.4 стр.п.12-16 ЖСК Геостром'!$C$46</definedName>
    <definedName name="_103h_E49">'П~ д.4 стр.п.12-16 ЖСК Геостром'!$C$47</definedName>
    <definedName name="_103h_E50">'П~ д.4 стр.п.12-16 ЖСК Геостром'!$C$48</definedName>
    <definedName name="_103h_E51">'П~ д.4 стр.п.12-16 ЖСК Геостром'!$C$49</definedName>
    <definedName name="_103h_E52">'П~ д.4 стр.п.12-16 ЖСК Геостром'!#REF!</definedName>
    <definedName name="_103h_E53">'П~ д.4 стр.п.12-16 ЖСК Геостром'!$C$50</definedName>
    <definedName name="_103h_E54">'П~ д.4 стр.п.12-16 ЖСК Геостром'!$C$51</definedName>
    <definedName name="_103h_E55">'П~ д.4 стр.п.12-16 ЖСК Геостром'!$C$52</definedName>
    <definedName name="_103h_E56">'П~ д.4 стр.п.12-16 ЖСК Геостром'!$C$53</definedName>
    <definedName name="_103h_E57">'П~ д.4 стр.п.12-16 ЖСК Геостром'!$C$54</definedName>
    <definedName name="_103h_E58">'П~ д.4 стр.п.12-16 ЖСК Геостром'!$C$55</definedName>
    <definedName name="_103h_E59">'П~ д.4 стр.п.12-16 ЖСК Геостром'!$C$56</definedName>
    <definedName name="_103h_E60">'П~ д.4 стр.п.12-16 ЖСК Геостром'!$C$57</definedName>
    <definedName name="_103h_E61">'П~ д.4 стр.п.12-16 ЖСК Геостром'!$C$58</definedName>
    <definedName name="_103h_E62">'П~ д.4 стр.п.12-16 ЖСК Геостром'!$C$59</definedName>
    <definedName name="_103h_E63">'П~ д.4 стр.п.12-16 ЖСК Геостром'!#REF!</definedName>
    <definedName name="_103h_E64">'П~ д.4 стр.п.12-16 ЖСК Геостром'!$C$60</definedName>
    <definedName name="_103h_E65">'П~ д.4 стр.п.12-16 ЖСК Геостром'!$C$61</definedName>
    <definedName name="_103h_E7">'П~ д.4 стр.п.12-16 ЖСК Геостром'!$C$5</definedName>
    <definedName name="_103h_E8">'П~ д.4 стр.п.12-16 ЖСК Геостром'!$C$6</definedName>
    <definedName name="_103h_E9">'П~ д.4 стр.п.12-16 ЖСК Геостром'!$C$7</definedName>
    <definedName name="_103h_F10">'П~ д.4 стр.п.12-16 ЖСК Геостром'!$D$8</definedName>
    <definedName name="_103h_F11">'П~ д.4 стр.п.12-16 ЖСК Геостром'!$D$9</definedName>
    <definedName name="_103h_F12">'П~ д.4 стр.п.12-16 ЖСК Геостром'!$D$10</definedName>
    <definedName name="_103h_F13">'П~ д.4 стр.п.12-16 ЖСК Геостром'!$D$11</definedName>
    <definedName name="_103h_F14">'П~ д.4 стр.п.12-16 ЖСК Геостром'!$D$12</definedName>
    <definedName name="_103h_F15">'П~ д.4 стр.п.12-16 ЖСК Геостром'!$D$13</definedName>
    <definedName name="_103h_F16">'П~ д.4 стр.п.12-16 ЖСК Геостром'!$D$14</definedName>
    <definedName name="_103h_F17">'П~ д.4 стр.п.12-16 ЖСК Геостром'!$D$15</definedName>
    <definedName name="_103h_F18">'П~ д.4 стр.п.12-16 ЖСК Геостром'!$D$16</definedName>
    <definedName name="_103h_F19">'П~ д.4 стр.п.12-16 ЖСК Геостром'!$D$17</definedName>
    <definedName name="_103h_F20">'П~ д.4 стр.п.12-16 ЖСК Геостром'!$D$18</definedName>
    <definedName name="_103h_F21">'П~ д.4 стр.п.12-16 ЖСК Геостром'!$D$19</definedName>
    <definedName name="_103h_F22">'П~ д.4 стр.п.12-16 ЖСК Геостром'!$D$20</definedName>
    <definedName name="_103h_F23">'П~ д.4 стр.п.12-16 ЖСК Геостром'!$D$21</definedName>
    <definedName name="_103h_F24">'П~ д.4 стр.п.12-16 ЖСК Геостром'!$D$22</definedName>
    <definedName name="_103h_F25">'П~ д.4 стр.п.12-16 ЖСК Геостром'!$D$23</definedName>
    <definedName name="_103h_F26">'П~ д.4 стр.п.12-16 ЖСК Геостром'!$D$24</definedName>
    <definedName name="_103h_F27">'П~ д.4 стр.п.12-16 ЖСК Геостром'!$D$25</definedName>
    <definedName name="_103h_F28">'П~ д.4 стр.п.12-16 ЖСК Геостром'!$D$26</definedName>
    <definedName name="_103h_F29">'П~ д.4 стр.п.12-16 ЖСК Геостром'!$D$27</definedName>
    <definedName name="_103h_F30">'П~ д.4 стр.п.12-16 ЖСК Геостром'!$D$28</definedName>
    <definedName name="_103h_F31">'П~ д.4 стр.п.12-16 ЖСК Геостром'!$D$29</definedName>
    <definedName name="_103h_F32">'П~ д.4 стр.п.12-16 ЖСК Геостром'!$D$30</definedName>
    <definedName name="_103h_F33">'П~ д.4 стр.п.12-16 ЖСК Геостром'!$D$31</definedName>
    <definedName name="_103h_F34">'П~ д.4 стр.п.12-16 ЖСК Геостром'!$D$32</definedName>
    <definedName name="_103h_F35">'П~ д.4 стр.п.12-16 ЖСК Геостром'!$D$33</definedName>
    <definedName name="_103h_F36">'П~ д.4 стр.п.12-16 ЖСК Геостром'!$D$34</definedName>
    <definedName name="_103h_F37">'П~ д.4 стр.п.12-16 ЖСК Геостром'!$D$35</definedName>
    <definedName name="_103h_F38">'П~ д.4 стр.п.12-16 ЖСК Геостром'!$D$36</definedName>
    <definedName name="_103h_F39">'П~ д.4 стр.п.12-16 ЖСК Геостром'!$D$37</definedName>
    <definedName name="_103h_F40">'П~ д.4 стр.п.12-16 ЖСК Геостром'!$D$38</definedName>
    <definedName name="_103h_F41">'П~ д.4 стр.п.12-16 ЖСК Геостром'!$D$39</definedName>
    <definedName name="_103h_F42">'П~ д.4 стр.п.12-16 ЖСК Геостром'!$D$40</definedName>
    <definedName name="_103h_F43">'П~ д.4 стр.п.12-16 ЖСК Геостром'!$D$41</definedName>
    <definedName name="_103h_F44">'П~ д.4 стр.п.12-16 ЖСК Геостром'!$D$42</definedName>
    <definedName name="_103h_F45">'П~ д.4 стр.п.12-16 ЖСК Геостром'!$D$43</definedName>
    <definedName name="_103h_F46">'П~ д.4 стр.п.12-16 ЖСК Геостром'!$D$44</definedName>
    <definedName name="_103h_F47">'П~ д.4 стр.п.12-16 ЖСК Геостром'!$D$45</definedName>
    <definedName name="_103h_F48">'П~ д.4 стр.п.12-16 ЖСК Геостром'!$D$46</definedName>
    <definedName name="_103h_F49">'П~ д.4 стр.п.12-16 ЖСК Геостром'!$D$47</definedName>
    <definedName name="_103h_F50">'П~ д.4 стр.п.12-16 ЖСК Геостром'!$D$48</definedName>
    <definedName name="_103h_F51">'П~ д.4 стр.п.12-16 ЖСК Геостром'!$D$49</definedName>
    <definedName name="_103h_F52">'П~ д.4 стр.п.12-16 ЖСК Геостром'!#REF!</definedName>
    <definedName name="_103h_F53">'П~ д.4 стр.п.12-16 ЖСК Геостром'!$D$50</definedName>
    <definedName name="_103h_F54">'П~ д.4 стр.п.12-16 ЖСК Геостром'!$D$51</definedName>
    <definedName name="_103h_F55">'П~ д.4 стр.п.12-16 ЖСК Геостром'!$D$52</definedName>
    <definedName name="_103h_F56">'П~ д.4 стр.п.12-16 ЖСК Геостром'!$D$53</definedName>
    <definedName name="_103h_F57">'П~ д.4 стр.п.12-16 ЖСК Геостром'!$D$54</definedName>
    <definedName name="_103h_F58">'П~ д.4 стр.п.12-16 ЖСК Геостром'!$D$55</definedName>
    <definedName name="_103h_F59">'П~ д.4 стр.п.12-16 ЖСК Геостром'!$D$56</definedName>
    <definedName name="_103h_F60">'П~ д.4 стр.п.12-16 ЖСК Геостром'!$D$57</definedName>
    <definedName name="_103h_F61">'П~ д.4 стр.п.12-16 ЖСК Геостром'!$D$58</definedName>
    <definedName name="_103h_F62">'П~ д.4 стр.п.12-16 ЖСК Геостром'!$D$59</definedName>
    <definedName name="_103h_F63">'П~ д.4 стр.п.12-16 ЖСК Геостром'!#REF!</definedName>
    <definedName name="_103h_F64">'П~ д.4 стр.п.12-16 ЖСК Геостром'!$D$60</definedName>
    <definedName name="_103h_F65">'П~ д.4 стр.п.12-16 ЖСК Геостром'!$D$61</definedName>
    <definedName name="_103h_F7">'П~ д.4 стр.п.12-16 ЖСК Геостром'!$D$5</definedName>
    <definedName name="_103h_F8">'П~ д.4 стр.п.12-16 ЖСК Геостром'!$D$6</definedName>
    <definedName name="_103h_F9">'П~ д.4 стр.п.12-16 ЖСК Геостром'!$D$7</definedName>
    <definedName name="_104h_E10">'Паустовского д.5 к.1'!$C$8</definedName>
    <definedName name="_104h_E11">'Паустовского д.5 к.1'!$C$9</definedName>
    <definedName name="_104h_E12">'Паустовского д.5 к.1'!$C$10</definedName>
    <definedName name="_104h_E13">'Паустовского д.5 к.1'!$C$11</definedName>
    <definedName name="_104h_E14">'Паустовского д.5 к.1'!$C$12</definedName>
    <definedName name="_104h_E15">'Паустовского д.5 к.1'!$C$13</definedName>
    <definedName name="_104h_E16">'Паустовского д.5 к.1'!$C$14</definedName>
    <definedName name="_104h_E17">'Паустовского д.5 к.1'!$C$15</definedName>
    <definedName name="_104h_E18">'Паустовского д.5 к.1'!$C$16</definedName>
    <definedName name="_104h_E19">'Паустовского д.5 к.1'!$C$17</definedName>
    <definedName name="_104h_E20">'Паустовского д.5 к.1'!$C$18</definedName>
    <definedName name="_104h_E21">'Паустовского д.5 к.1'!$C$19</definedName>
    <definedName name="_104h_E22">'Паустовского д.5 к.1'!$C$20</definedName>
    <definedName name="_104h_E23">'Паустовского д.5 к.1'!$C$21</definedName>
    <definedName name="_104h_E24">'Паустовского д.5 к.1'!$C$22</definedName>
    <definedName name="_104h_E25">'Паустовского д.5 к.1'!$C$23</definedName>
    <definedName name="_104h_E26">'Паустовского д.5 к.1'!$C$24</definedName>
    <definedName name="_104h_E27">'Паустовского д.5 к.1'!$C$25</definedName>
    <definedName name="_104h_E28">'Паустовского д.5 к.1'!$C$26</definedName>
    <definedName name="_104h_E29">'Паустовского д.5 к.1'!$C$27</definedName>
    <definedName name="_104h_E30">'Паустовского д.5 к.1'!$C$28</definedName>
    <definedName name="_104h_E31">'Паустовского д.5 к.1'!$C$29</definedName>
    <definedName name="_104h_E32">'Паустовского д.5 к.1'!$C$30</definedName>
    <definedName name="_104h_E33">'Паустовского д.5 к.1'!$C$31</definedName>
    <definedName name="_104h_E34">'Паустовского д.5 к.1'!$C$32</definedName>
    <definedName name="_104h_E35">'Паустовского д.5 к.1'!$C$33</definedName>
    <definedName name="_104h_E36">'Паустовского д.5 к.1'!$C$34</definedName>
    <definedName name="_104h_E37">'Паустовского д.5 к.1'!$C$35</definedName>
    <definedName name="_104h_E38">'Паустовского д.5 к.1'!$C$36</definedName>
    <definedName name="_104h_E39">'Паустовского д.5 к.1'!$C$37</definedName>
    <definedName name="_104h_E40">'Паустовского д.5 к.1'!$C$38</definedName>
    <definedName name="_104h_E41">'Паустовского д.5 к.1'!$C$39</definedName>
    <definedName name="_104h_E42">'Паустовского д.5 к.1'!$C$40</definedName>
    <definedName name="_104h_E43">'Паустовского д.5 к.1'!$C$41</definedName>
    <definedName name="_104h_E44">'Паустовского д.5 к.1'!$C$42</definedName>
    <definedName name="_104h_E45">'Паустовского д.5 к.1'!$C$43</definedName>
    <definedName name="_104h_E46">'Паустовского д.5 к.1'!$C$44</definedName>
    <definedName name="_104h_E47">'Паустовского д.5 к.1'!$C$45</definedName>
    <definedName name="_104h_E48">'Паустовского д.5 к.1'!$C$46</definedName>
    <definedName name="_104h_E49">'Паустовского д.5 к.1'!$C$47</definedName>
    <definedName name="_104h_E50">'Паустовского д.5 к.1'!$C$48</definedName>
    <definedName name="_104h_E51">'Паустовского д.5 к.1'!$C$49</definedName>
    <definedName name="_104h_E52">'Паустовского д.5 к.1'!#REF!</definedName>
    <definedName name="_104h_E53">'Паустовского д.5 к.1'!$C$50</definedName>
    <definedName name="_104h_E54">'Паустовского д.5 к.1'!$C$51</definedName>
    <definedName name="_104h_E55">'Паустовского д.5 к.1'!$C$52</definedName>
    <definedName name="_104h_E56">'Паустовского д.5 к.1'!$C$53</definedName>
    <definedName name="_104h_E57">'Паустовского д.5 к.1'!$C$54</definedName>
    <definedName name="_104h_E58">'Паустовского д.5 к.1'!$C$55</definedName>
    <definedName name="_104h_E59">'Паустовского д.5 к.1'!$C$56</definedName>
    <definedName name="_104h_E60">'Паустовского д.5 к.1'!$C$57</definedName>
    <definedName name="_104h_E61">'Паустовского д.5 к.1'!$C$58</definedName>
    <definedName name="_104h_E62">'Паустовского д.5 к.1'!$C$59</definedName>
    <definedName name="_104h_E63">'Паустовского д.5 к.1'!#REF!</definedName>
    <definedName name="_104h_E64">'Паустовского д.5 к.1'!$C$60</definedName>
    <definedName name="_104h_E65">'Паустовского д.5 к.1'!$C$61</definedName>
    <definedName name="_104h_E7">'Паустовского д.5 к.1'!$C$5</definedName>
    <definedName name="_104h_E8">'Паустовского д.5 к.1'!$C$6</definedName>
    <definedName name="_104h_E9">'Паустовского д.5 к.1'!$C$7</definedName>
    <definedName name="_104h_F10">'Паустовского д.5 к.1'!$D$8</definedName>
    <definedName name="_104h_F11">'Паустовского д.5 к.1'!$D$9</definedName>
    <definedName name="_104h_F12">'Паустовского д.5 к.1'!$D$10</definedName>
    <definedName name="_104h_F13">'Паустовского д.5 к.1'!$D$11</definedName>
    <definedName name="_104h_F14">'Паустовского д.5 к.1'!$D$12</definedName>
    <definedName name="_104h_F15">'Паустовского д.5 к.1'!$D$13</definedName>
    <definedName name="_104h_F16">'Паустовского д.5 к.1'!$D$14</definedName>
    <definedName name="_104h_F17">'Паустовского д.5 к.1'!$D$15</definedName>
    <definedName name="_104h_F18">'Паустовского д.5 к.1'!$D$16</definedName>
    <definedName name="_104h_F19">'Паустовского д.5 к.1'!$D$17</definedName>
    <definedName name="_104h_F20">'Паустовского д.5 к.1'!$D$18</definedName>
    <definedName name="_104h_F21">'Паустовского д.5 к.1'!$D$19</definedName>
    <definedName name="_104h_F22">'Паустовского д.5 к.1'!$D$20</definedName>
    <definedName name="_104h_F23">'Паустовского д.5 к.1'!$D$21</definedName>
    <definedName name="_104h_F24">'Паустовского д.5 к.1'!$D$22</definedName>
    <definedName name="_104h_F25">'Паустовского д.5 к.1'!$D$23</definedName>
    <definedName name="_104h_F26">'Паустовского д.5 к.1'!$D$24</definedName>
    <definedName name="_104h_F27">'Паустовского д.5 к.1'!$D$25</definedName>
    <definedName name="_104h_F28">'Паустовского д.5 к.1'!$D$26</definedName>
    <definedName name="_104h_F29">'Паустовского д.5 к.1'!$D$27</definedName>
    <definedName name="_104h_F30">'Паустовского д.5 к.1'!$D$28</definedName>
    <definedName name="_104h_F31">'Паустовского д.5 к.1'!$D$29</definedName>
    <definedName name="_104h_F32">'Паустовского д.5 к.1'!$D$30</definedName>
    <definedName name="_104h_F33">'Паустовского д.5 к.1'!$D$31</definedName>
    <definedName name="_104h_F34">'Паустовского д.5 к.1'!$D$32</definedName>
    <definedName name="_104h_F35">'Паустовского д.5 к.1'!$D$33</definedName>
    <definedName name="_104h_F36">'Паустовского д.5 к.1'!$D$34</definedName>
    <definedName name="_104h_F37">'Паустовского д.5 к.1'!$D$35</definedName>
    <definedName name="_104h_F38">'Паустовского д.5 к.1'!$D$36</definedName>
    <definedName name="_104h_F39">'Паустовского д.5 к.1'!$D$37</definedName>
    <definedName name="_104h_F40">'Паустовского д.5 к.1'!$D$38</definedName>
    <definedName name="_104h_F41">'Паустовского д.5 к.1'!$D$39</definedName>
    <definedName name="_104h_F42">'Паустовского д.5 к.1'!$D$40</definedName>
    <definedName name="_104h_F43">'Паустовского д.5 к.1'!$D$41</definedName>
    <definedName name="_104h_F44">'Паустовского д.5 к.1'!$D$42</definedName>
    <definedName name="_104h_F45">'Паустовского д.5 к.1'!$D$43</definedName>
    <definedName name="_104h_F46">'Паустовского д.5 к.1'!$D$44</definedName>
    <definedName name="_104h_F47">'Паустовского д.5 к.1'!$D$45</definedName>
    <definedName name="_104h_F48">'Паустовского д.5 к.1'!$D$46</definedName>
    <definedName name="_104h_F49">'Паустовского д.5 к.1'!$D$47</definedName>
    <definedName name="_104h_F50">'Паустовского д.5 к.1'!$D$48</definedName>
    <definedName name="_104h_F51">'Паустовского д.5 к.1'!$D$49</definedName>
    <definedName name="_104h_F52">'Паустовского д.5 к.1'!#REF!</definedName>
    <definedName name="_104h_F53">'Паустовского д.5 к.1'!$D$50</definedName>
    <definedName name="_104h_F54">'Паустовского д.5 к.1'!$D$51</definedName>
    <definedName name="_104h_F55">'Паустовского д.5 к.1'!$D$52</definedName>
    <definedName name="_104h_F56">'Паустовского д.5 к.1'!$D$53</definedName>
    <definedName name="_104h_F57">'Паустовского д.5 к.1'!$D$54</definedName>
    <definedName name="_104h_F58">'Паустовского д.5 к.1'!$D$55</definedName>
    <definedName name="_104h_F59">'Паустовского д.5 к.1'!$D$56</definedName>
    <definedName name="_104h_F60">'Паустовского д.5 к.1'!$D$57</definedName>
    <definedName name="_104h_F61">'Паустовского д.5 к.1'!$D$58</definedName>
    <definedName name="_104h_F62">'Паустовского д.5 к.1'!$D$59</definedName>
    <definedName name="_104h_F63">'Паустовского д.5 к.1'!#REF!</definedName>
    <definedName name="_104h_F64">'Паустовского д.5 к.1'!$D$60</definedName>
    <definedName name="_104h_F65">'Паустовского д.5 к.1'!$D$61</definedName>
    <definedName name="_104h_F7">'Паустовского д.5 к.1'!$D$5</definedName>
    <definedName name="_104h_F8">'Паустовского д.5 к.1'!$D$6</definedName>
    <definedName name="_104h_F9">'Паустовского д.5 к.1'!$D$7</definedName>
    <definedName name="_105h_E10">'Пау~ д.8 к.3 стр.п.1-4,9-12 '!$C$8</definedName>
    <definedName name="_105h_E11">'Пау~ д.8 к.3 стр.п.1-4,9-12 '!$C$9</definedName>
    <definedName name="_105h_E12">'Пау~ д.8 к.3 стр.п.1-4,9-12 '!$C$10</definedName>
    <definedName name="_105h_E13">'Пау~ д.8 к.3 стр.п.1-4,9-12 '!$C$11</definedName>
    <definedName name="_105h_E14">'Пау~ д.8 к.3 стр.п.1-4,9-12 '!$C$12</definedName>
    <definedName name="_105h_E15">'Пау~ д.8 к.3 стр.п.1-4,9-12 '!$C$13</definedName>
    <definedName name="_105h_E16">'Пау~ д.8 к.3 стр.п.1-4,9-12 '!$C$14</definedName>
    <definedName name="_105h_E17">'Пау~ д.8 к.3 стр.п.1-4,9-12 '!$C$15</definedName>
    <definedName name="_105h_E18">'Пау~ д.8 к.3 стр.п.1-4,9-12 '!$C$16</definedName>
    <definedName name="_105h_E19">'Пау~ д.8 к.3 стр.п.1-4,9-12 '!$C$17</definedName>
    <definedName name="_105h_E20">'Пау~ д.8 к.3 стр.п.1-4,9-12 '!$C$18</definedName>
    <definedName name="_105h_E21">'Пау~ д.8 к.3 стр.п.1-4,9-12 '!$C$19</definedName>
    <definedName name="_105h_E22">'Пау~ д.8 к.3 стр.п.1-4,9-12 '!$C$20</definedName>
    <definedName name="_105h_E23">'Пау~ д.8 к.3 стр.п.1-4,9-12 '!$C$21</definedName>
    <definedName name="_105h_E24">'Пау~ д.8 к.3 стр.п.1-4,9-12 '!$C$22</definedName>
    <definedName name="_105h_E25">'Пау~ д.8 к.3 стр.п.1-4,9-12 '!$C$23</definedName>
    <definedName name="_105h_E26">'Пау~ д.8 к.3 стр.п.1-4,9-12 '!$C$24</definedName>
    <definedName name="_105h_E27">'Пау~ д.8 к.3 стр.п.1-4,9-12 '!$C$25</definedName>
    <definedName name="_105h_E28">'Пау~ д.8 к.3 стр.п.1-4,9-12 '!$C$26</definedName>
    <definedName name="_105h_E29">'Пау~ д.8 к.3 стр.п.1-4,9-12 '!$C$27</definedName>
    <definedName name="_105h_E30">'Пау~ д.8 к.3 стр.п.1-4,9-12 '!$C$28</definedName>
    <definedName name="_105h_E31">'Пау~ д.8 к.3 стр.п.1-4,9-12 '!$C$29</definedName>
    <definedName name="_105h_E32">'Пау~ д.8 к.3 стр.п.1-4,9-12 '!$C$30</definedName>
    <definedName name="_105h_E33">'Пау~ д.8 к.3 стр.п.1-4,9-12 '!$C$31</definedName>
    <definedName name="_105h_E34">'Пау~ д.8 к.3 стр.п.1-4,9-12 '!$C$32</definedName>
    <definedName name="_105h_E35">'Пау~ д.8 к.3 стр.п.1-4,9-12 '!$C$33</definedName>
    <definedName name="_105h_E36">'Пау~ д.8 к.3 стр.п.1-4,9-12 '!$C$34</definedName>
    <definedName name="_105h_E37">'Пау~ д.8 к.3 стр.п.1-4,9-12 '!$C$35</definedName>
    <definedName name="_105h_E38">'Пау~ д.8 к.3 стр.п.1-4,9-12 '!$C$36</definedName>
    <definedName name="_105h_E39">'Пау~ д.8 к.3 стр.п.1-4,9-12 '!$C$37</definedName>
    <definedName name="_105h_E40">'Пау~ д.8 к.3 стр.п.1-4,9-12 '!$C$38</definedName>
    <definedName name="_105h_E41">'Пау~ д.8 к.3 стр.п.1-4,9-12 '!$C$39</definedName>
    <definedName name="_105h_E42">'Пау~ д.8 к.3 стр.п.1-4,9-12 '!$C$40</definedName>
    <definedName name="_105h_E43">'Пау~ д.8 к.3 стр.п.1-4,9-12 '!$C$41</definedName>
    <definedName name="_105h_E44">'Пау~ д.8 к.3 стр.п.1-4,9-12 '!$C$42</definedName>
    <definedName name="_105h_E45">'Пау~ д.8 к.3 стр.п.1-4,9-12 '!$C$43</definedName>
    <definedName name="_105h_E46">'Пау~ д.8 к.3 стр.п.1-4,9-12 '!$C$44</definedName>
    <definedName name="_105h_E47">'Пау~ д.8 к.3 стр.п.1-4,9-12 '!$C$45</definedName>
    <definedName name="_105h_E48">'Пау~ д.8 к.3 стр.п.1-4,9-12 '!$C$46</definedName>
    <definedName name="_105h_E49">'Пау~ д.8 к.3 стр.п.1-4,9-12 '!$C$47</definedName>
    <definedName name="_105h_E50">'Пау~ д.8 к.3 стр.п.1-4,9-12 '!$C$48</definedName>
    <definedName name="_105h_E51">'Пау~ д.8 к.3 стр.п.1-4,9-12 '!$C$49</definedName>
    <definedName name="_105h_E52">'Пау~ д.8 к.3 стр.п.1-4,9-12 '!#REF!</definedName>
    <definedName name="_105h_E53">'Пау~ д.8 к.3 стр.п.1-4,9-12 '!$C$50</definedName>
    <definedName name="_105h_E54">'Пау~ д.8 к.3 стр.п.1-4,9-12 '!$C$51</definedName>
    <definedName name="_105h_E55">'Пау~ д.8 к.3 стр.п.1-4,9-12 '!$C$52</definedName>
    <definedName name="_105h_E56">'Пау~ д.8 к.3 стр.п.1-4,9-12 '!$C$53</definedName>
    <definedName name="_105h_E57">'Пау~ д.8 к.3 стр.п.1-4,9-12 '!$C$54</definedName>
    <definedName name="_105h_E58">'Пау~ д.8 к.3 стр.п.1-4,9-12 '!$C$55</definedName>
    <definedName name="_105h_E59">'Пау~ д.8 к.3 стр.п.1-4,9-12 '!$C$56</definedName>
    <definedName name="_105h_E60">'Пау~ д.8 к.3 стр.п.1-4,9-12 '!$C$57</definedName>
    <definedName name="_105h_E61">'Пау~ д.8 к.3 стр.п.1-4,9-12 '!$C$58</definedName>
    <definedName name="_105h_E62">'Пау~ д.8 к.3 стр.п.1-4,9-12 '!$C$59</definedName>
    <definedName name="_105h_E63">'Пау~ д.8 к.3 стр.п.1-4,9-12 '!#REF!</definedName>
    <definedName name="_105h_E64">'Пау~ д.8 к.3 стр.п.1-4,9-12 '!$C$60</definedName>
    <definedName name="_105h_E65">'Пау~ д.8 к.3 стр.п.1-4,9-12 '!$C$61</definedName>
    <definedName name="_105h_E7">'Пау~ д.8 к.3 стр.п.1-4,9-12 '!$C$5</definedName>
    <definedName name="_105h_E8">'Пау~ д.8 к.3 стр.п.1-4,9-12 '!$C$6</definedName>
    <definedName name="_105h_E9">'Пау~ д.8 к.3 стр.п.1-4,9-12 '!$C$7</definedName>
    <definedName name="_105h_F10">'Пау~ д.8 к.3 стр.п.1-4,9-12 '!$D$8</definedName>
    <definedName name="_105h_F11">'Пау~ д.8 к.3 стр.п.1-4,9-12 '!$D$9</definedName>
    <definedName name="_105h_F12">'Пау~ д.8 к.3 стр.п.1-4,9-12 '!$D$10</definedName>
    <definedName name="_105h_F13">'Пау~ д.8 к.3 стр.п.1-4,9-12 '!$D$11</definedName>
    <definedName name="_105h_F14">'Пау~ д.8 к.3 стр.п.1-4,9-12 '!$D$12</definedName>
    <definedName name="_105h_F15">'Пау~ д.8 к.3 стр.п.1-4,9-12 '!$D$13</definedName>
    <definedName name="_105h_F16">'Пау~ д.8 к.3 стр.п.1-4,9-12 '!$D$14</definedName>
    <definedName name="_105h_F17">'Пау~ д.8 к.3 стр.п.1-4,9-12 '!$D$15</definedName>
    <definedName name="_105h_F18">'Пау~ д.8 к.3 стр.п.1-4,9-12 '!$D$16</definedName>
    <definedName name="_105h_F19">'Пау~ д.8 к.3 стр.п.1-4,9-12 '!$D$17</definedName>
    <definedName name="_105h_F20">'Пау~ д.8 к.3 стр.п.1-4,9-12 '!$D$18</definedName>
    <definedName name="_105h_F21">'Пау~ д.8 к.3 стр.п.1-4,9-12 '!$D$19</definedName>
    <definedName name="_105h_F22">'Пау~ д.8 к.3 стр.п.1-4,9-12 '!$D$20</definedName>
    <definedName name="_105h_F23">'Пау~ д.8 к.3 стр.п.1-4,9-12 '!$D$21</definedName>
    <definedName name="_105h_F24">'Пау~ д.8 к.3 стр.п.1-4,9-12 '!$D$22</definedName>
    <definedName name="_105h_F25">'Пау~ д.8 к.3 стр.п.1-4,9-12 '!$D$23</definedName>
    <definedName name="_105h_F26">'Пау~ д.8 к.3 стр.п.1-4,9-12 '!$D$24</definedName>
    <definedName name="_105h_F27">'Пау~ д.8 к.3 стр.п.1-4,9-12 '!$D$25</definedName>
    <definedName name="_105h_F28">'Пау~ д.8 к.3 стр.п.1-4,9-12 '!$D$26</definedName>
    <definedName name="_105h_F29">'Пау~ д.8 к.3 стр.п.1-4,9-12 '!$D$27</definedName>
    <definedName name="_105h_F30">'Пау~ д.8 к.3 стр.п.1-4,9-12 '!$D$28</definedName>
    <definedName name="_105h_F31">'Пау~ д.8 к.3 стр.п.1-4,9-12 '!$D$29</definedName>
    <definedName name="_105h_F32">'Пау~ д.8 к.3 стр.п.1-4,9-12 '!$D$30</definedName>
    <definedName name="_105h_F33">'Пау~ д.8 к.3 стр.п.1-4,9-12 '!$D$31</definedName>
    <definedName name="_105h_F34">'Пау~ д.8 к.3 стр.п.1-4,9-12 '!$D$32</definedName>
    <definedName name="_105h_F35">'Пау~ д.8 к.3 стр.п.1-4,9-12 '!$D$33</definedName>
    <definedName name="_105h_F36">'Пау~ д.8 к.3 стр.п.1-4,9-12 '!$D$34</definedName>
    <definedName name="_105h_F37">'Пау~ д.8 к.3 стр.п.1-4,9-12 '!$D$35</definedName>
    <definedName name="_105h_F38">'Пау~ д.8 к.3 стр.п.1-4,9-12 '!$D$36</definedName>
    <definedName name="_105h_F39">'Пау~ д.8 к.3 стр.п.1-4,9-12 '!$D$37</definedName>
    <definedName name="_105h_F40">'Пау~ д.8 к.3 стр.п.1-4,9-12 '!$D$38</definedName>
    <definedName name="_105h_F41">'Пау~ д.8 к.3 стр.п.1-4,9-12 '!$D$39</definedName>
    <definedName name="_105h_F42">'Пау~ д.8 к.3 стр.п.1-4,9-12 '!$D$40</definedName>
    <definedName name="_105h_F43">'Пау~ д.8 к.3 стр.п.1-4,9-12 '!$D$41</definedName>
    <definedName name="_105h_F44">'Пау~ д.8 к.3 стр.п.1-4,9-12 '!$D$42</definedName>
    <definedName name="_105h_F45">'Пау~ д.8 к.3 стр.п.1-4,9-12 '!$D$43</definedName>
    <definedName name="_105h_F46">'Пау~ д.8 к.3 стр.п.1-4,9-12 '!$D$44</definedName>
    <definedName name="_105h_F47">'Пау~ д.8 к.3 стр.п.1-4,9-12 '!$D$45</definedName>
    <definedName name="_105h_F48">'Пау~ д.8 к.3 стр.п.1-4,9-12 '!$D$46</definedName>
    <definedName name="_105h_F49">'Пау~ д.8 к.3 стр.п.1-4,9-12 '!$D$47</definedName>
    <definedName name="_105h_F50">'Пау~ д.8 к.3 стр.п.1-4,9-12 '!$D$48</definedName>
    <definedName name="_105h_F51">'Пау~ д.8 к.3 стр.п.1-4,9-12 '!$D$49</definedName>
    <definedName name="_105h_F52">'Пау~ д.8 к.3 стр.п.1-4,9-12 '!#REF!</definedName>
    <definedName name="_105h_F53">'Пау~ д.8 к.3 стр.п.1-4,9-12 '!$D$50</definedName>
    <definedName name="_105h_F54">'Пау~ д.8 к.3 стр.п.1-4,9-12 '!$D$51</definedName>
    <definedName name="_105h_F55">'Пау~ д.8 к.3 стр.п.1-4,9-12 '!$D$52</definedName>
    <definedName name="_105h_F56">'Пау~ д.8 к.3 стр.п.1-4,9-12 '!$D$53</definedName>
    <definedName name="_105h_F57">'Пау~ д.8 к.3 стр.п.1-4,9-12 '!$D$54</definedName>
    <definedName name="_105h_F58">'Пау~ д.8 к.3 стр.п.1-4,9-12 '!$D$55</definedName>
    <definedName name="_105h_F59">'Пау~ д.8 к.3 стр.п.1-4,9-12 '!$D$56</definedName>
    <definedName name="_105h_F60">'Пау~ д.8 к.3 стр.п.1-4,9-12 '!$D$57</definedName>
    <definedName name="_105h_F61">'Пау~ д.8 к.3 стр.п.1-4,9-12 '!$D$58</definedName>
    <definedName name="_105h_F62">'Пау~ д.8 к.3 стр.п.1-4,9-12 '!$D$59</definedName>
    <definedName name="_105h_F63">'Пау~ д.8 к.3 стр.п.1-4,9-12 '!#REF!</definedName>
    <definedName name="_105h_F64">'Пау~ д.8 к.3 стр.п.1-4,9-12 '!$D$60</definedName>
    <definedName name="_105h_F65">'Пау~ д.8 к.3 стр.п.1-4,9-12 '!$D$61</definedName>
    <definedName name="_105h_F7">'Пау~ д.8 к.3 стр.п.1-4,9-12 '!$D$5</definedName>
    <definedName name="_105h_F8">'Пау~ д.8 к.3 стр.п.1-4,9-12 '!$D$6</definedName>
    <definedName name="_105h_F9">'Пау~ д.8 к.3 стр.п.1-4,9-12 '!$D$7</definedName>
    <definedName name="_106h_E10">' д.8 к.3 стр.п.5-8 ЖСК Молния-2'!$C$8</definedName>
    <definedName name="_106h_E11">' д.8 к.3 стр.п.5-8 ЖСК Молния-2'!$C$9</definedName>
    <definedName name="_106h_E12">' д.8 к.3 стр.п.5-8 ЖСК Молния-2'!$C$10</definedName>
    <definedName name="_106h_E13">' д.8 к.3 стр.п.5-8 ЖСК Молния-2'!$C$11</definedName>
    <definedName name="_106h_E14">' д.8 к.3 стр.п.5-8 ЖСК Молния-2'!$C$12</definedName>
    <definedName name="_106h_E15">' д.8 к.3 стр.п.5-8 ЖСК Молния-2'!$C$13</definedName>
    <definedName name="_106h_E16">' д.8 к.3 стр.п.5-8 ЖСК Молния-2'!$C$14</definedName>
    <definedName name="_106h_E17">' д.8 к.3 стр.п.5-8 ЖСК Молния-2'!$C$15</definedName>
    <definedName name="_106h_E18">' д.8 к.3 стр.п.5-8 ЖСК Молния-2'!$C$16</definedName>
    <definedName name="_106h_E19">' д.8 к.3 стр.п.5-8 ЖСК Молния-2'!$C$17</definedName>
    <definedName name="_106h_E20">' д.8 к.3 стр.п.5-8 ЖСК Молния-2'!$C$18</definedName>
    <definedName name="_106h_E21">' д.8 к.3 стр.п.5-8 ЖСК Молния-2'!$C$19</definedName>
    <definedName name="_106h_E22">' д.8 к.3 стр.п.5-8 ЖСК Молния-2'!$C$20</definedName>
    <definedName name="_106h_E23">' д.8 к.3 стр.п.5-8 ЖСК Молния-2'!$C$21</definedName>
    <definedName name="_106h_E24">' д.8 к.3 стр.п.5-8 ЖСК Молния-2'!$C$22</definedName>
    <definedName name="_106h_E25">' д.8 к.3 стр.п.5-8 ЖСК Молния-2'!$C$23</definedName>
    <definedName name="_106h_E26">' д.8 к.3 стр.п.5-8 ЖСК Молния-2'!$C$24</definedName>
    <definedName name="_106h_E27">' д.8 к.3 стр.п.5-8 ЖСК Молния-2'!$C$25</definedName>
    <definedName name="_106h_E28">' д.8 к.3 стр.п.5-8 ЖСК Молния-2'!$C$26</definedName>
    <definedName name="_106h_E29">' д.8 к.3 стр.п.5-8 ЖСК Молния-2'!$C$27</definedName>
    <definedName name="_106h_E30">' д.8 к.3 стр.п.5-8 ЖСК Молния-2'!$C$28</definedName>
    <definedName name="_106h_E31">' д.8 к.3 стр.п.5-8 ЖСК Молния-2'!$C$29</definedName>
    <definedName name="_106h_E32">' д.8 к.3 стр.п.5-8 ЖСК Молния-2'!$C$30</definedName>
    <definedName name="_106h_E33">' д.8 к.3 стр.п.5-8 ЖСК Молния-2'!$C$31</definedName>
    <definedName name="_106h_E34">' д.8 к.3 стр.п.5-8 ЖСК Молния-2'!$C$32</definedName>
    <definedName name="_106h_E35">' д.8 к.3 стр.п.5-8 ЖСК Молния-2'!$C$33</definedName>
    <definedName name="_106h_E36">' д.8 к.3 стр.п.5-8 ЖСК Молния-2'!$C$34</definedName>
    <definedName name="_106h_E37">' д.8 к.3 стр.п.5-8 ЖСК Молния-2'!$C$35</definedName>
    <definedName name="_106h_E38">' д.8 к.3 стр.п.5-8 ЖСК Молния-2'!$C$36</definedName>
    <definedName name="_106h_E39">' д.8 к.3 стр.п.5-8 ЖСК Молния-2'!$C$37</definedName>
    <definedName name="_106h_E40">' д.8 к.3 стр.п.5-8 ЖСК Молния-2'!$C$38</definedName>
    <definedName name="_106h_E41">' д.8 к.3 стр.п.5-8 ЖСК Молния-2'!$C$39</definedName>
    <definedName name="_106h_E42">' д.8 к.3 стр.п.5-8 ЖСК Молния-2'!$C$40</definedName>
    <definedName name="_106h_E43">' д.8 к.3 стр.п.5-8 ЖСК Молния-2'!$C$41</definedName>
    <definedName name="_106h_E44">' д.8 к.3 стр.п.5-8 ЖСК Молния-2'!$C$42</definedName>
    <definedName name="_106h_E45">' д.8 к.3 стр.п.5-8 ЖСК Молния-2'!$C$43</definedName>
    <definedName name="_106h_E46">' д.8 к.3 стр.п.5-8 ЖСК Молния-2'!$C$44</definedName>
    <definedName name="_106h_E47">' д.8 к.3 стр.п.5-8 ЖСК Молния-2'!$C$45</definedName>
    <definedName name="_106h_E48">' д.8 к.3 стр.п.5-8 ЖСК Молния-2'!$C$46</definedName>
    <definedName name="_106h_E49">' д.8 к.3 стр.п.5-8 ЖСК Молния-2'!$C$47</definedName>
    <definedName name="_106h_E50">' д.8 к.3 стр.п.5-8 ЖСК Молния-2'!$C$48</definedName>
    <definedName name="_106h_E51">' д.8 к.3 стр.п.5-8 ЖСК Молния-2'!$C$49</definedName>
    <definedName name="_106h_E52">' д.8 к.3 стр.п.5-8 ЖСК Молния-2'!#REF!</definedName>
    <definedName name="_106h_E53">' д.8 к.3 стр.п.5-8 ЖСК Молния-2'!$C$50</definedName>
    <definedName name="_106h_E54">' д.8 к.3 стр.п.5-8 ЖСК Молния-2'!$C$51</definedName>
    <definedName name="_106h_E55">' д.8 к.3 стр.п.5-8 ЖСК Молния-2'!$C$52</definedName>
    <definedName name="_106h_E56">' д.8 к.3 стр.п.5-8 ЖСК Молния-2'!$C$53</definedName>
    <definedName name="_106h_E57">' д.8 к.3 стр.п.5-8 ЖСК Молния-2'!$C$54</definedName>
    <definedName name="_106h_E58">' д.8 к.3 стр.п.5-8 ЖСК Молния-2'!$C$55</definedName>
    <definedName name="_106h_E59">' д.8 к.3 стр.п.5-8 ЖСК Молния-2'!$C$56</definedName>
    <definedName name="_106h_E60">' д.8 к.3 стр.п.5-8 ЖСК Молния-2'!$C$57</definedName>
    <definedName name="_106h_E61">' д.8 к.3 стр.п.5-8 ЖСК Молния-2'!$C$58</definedName>
    <definedName name="_106h_E62">' д.8 к.3 стр.п.5-8 ЖСК Молния-2'!$C$59</definedName>
    <definedName name="_106h_E63">' д.8 к.3 стр.п.5-8 ЖСК Молния-2'!#REF!</definedName>
    <definedName name="_106h_E64">' д.8 к.3 стр.п.5-8 ЖСК Молния-2'!$C$60</definedName>
    <definedName name="_106h_E65">' д.8 к.3 стр.п.5-8 ЖСК Молния-2'!$C$61</definedName>
    <definedName name="_106h_E7">' д.8 к.3 стр.п.5-8 ЖСК Молния-2'!$C$5</definedName>
    <definedName name="_106h_E8">' д.8 к.3 стр.п.5-8 ЖСК Молния-2'!$C$6</definedName>
    <definedName name="_106h_E9">' д.8 к.3 стр.п.5-8 ЖСК Молния-2'!$C$7</definedName>
    <definedName name="_106h_F10">' д.8 к.3 стр.п.5-8 ЖСК Молния-2'!$D$8</definedName>
    <definedName name="_106h_F11">' д.8 к.3 стр.п.5-8 ЖСК Молния-2'!$D$9</definedName>
    <definedName name="_106h_F12">' д.8 к.3 стр.п.5-8 ЖСК Молния-2'!$D$10</definedName>
    <definedName name="_106h_F13">' д.8 к.3 стр.п.5-8 ЖСК Молния-2'!$D$11</definedName>
    <definedName name="_106h_F14">' д.8 к.3 стр.п.5-8 ЖСК Молния-2'!$D$12</definedName>
    <definedName name="_106h_F15">' д.8 к.3 стр.п.5-8 ЖСК Молния-2'!$D$13</definedName>
    <definedName name="_106h_F16">' д.8 к.3 стр.п.5-8 ЖСК Молния-2'!$D$14</definedName>
    <definedName name="_106h_F17">' д.8 к.3 стр.п.5-8 ЖСК Молния-2'!$D$15</definedName>
    <definedName name="_106h_F18">' д.8 к.3 стр.п.5-8 ЖСК Молния-2'!$D$16</definedName>
    <definedName name="_106h_F19">' д.8 к.3 стр.п.5-8 ЖСК Молния-2'!$D$17</definedName>
    <definedName name="_106h_F20">' д.8 к.3 стр.п.5-8 ЖСК Молния-2'!$D$18</definedName>
    <definedName name="_106h_F21">' д.8 к.3 стр.п.5-8 ЖСК Молния-2'!$D$19</definedName>
    <definedName name="_106h_F22">' д.8 к.3 стр.п.5-8 ЖСК Молния-2'!$D$20</definedName>
    <definedName name="_106h_F23">' д.8 к.3 стр.п.5-8 ЖСК Молния-2'!$D$21</definedName>
    <definedName name="_106h_F24">' д.8 к.3 стр.п.5-8 ЖСК Молния-2'!$D$22</definedName>
    <definedName name="_106h_F25">' д.8 к.3 стр.п.5-8 ЖСК Молния-2'!$D$23</definedName>
    <definedName name="_106h_F26">' д.8 к.3 стр.п.5-8 ЖСК Молния-2'!$D$24</definedName>
    <definedName name="_106h_F27">' д.8 к.3 стр.п.5-8 ЖСК Молния-2'!$D$25</definedName>
    <definedName name="_106h_F28">' д.8 к.3 стр.п.5-8 ЖСК Молния-2'!$D$26</definedName>
    <definedName name="_106h_F29">' д.8 к.3 стр.п.5-8 ЖСК Молния-2'!$D$27</definedName>
    <definedName name="_106h_F30">' д.8 к.3 стр.п.5-8 ЖСК Молния-2'!$D$28</definedName>
    <definedName name="_106h_F31">' д.8 к.3 стр.п.5-8 ЖСК Молния-2'!$D$29</definedName>
    <definedName name="_106h_F32">' д.8 к.3 стр.п.5-8 ЖСК Молния-2'!$D$30</definedName>
    <definedName name="_106h_F33">' д.8 к.3 стр.п.5-8 ЖСК Молния-2'!$D$31</definedName>
    <definedName name="_106h_F34">' д.8 к.3 стр.п.5-8 ЖСК Молния-2'!$D$32</definedName>
    <definedName name="_106h_F35">' д.8 к.3 стр.п.5-8 ЖСК Молния-2'!$D$33</definedName>
    <definedName name="_106h_F36">' д.8 к.3 стр.п.5-8 ЖСК Молния-2'!$D$34</definedName>
    <definedName name="_106h_F37">' д.8 к.3 стр.п.5-8 ЖСК Молния-2'!$D$35</definedName>
    <definedName name="_106h_F38">' д.8 к.3 стр.п.5-8 ЖСК Молния-2'!$D$36</definedName>
    <definedName name="_106h_F39">' д.8 к.3 стр.п.5-8 ЖСК Молния-2'!$D$37</definedName>
    <definedName name="_106h_F40">' д.8 к.3 стр.п.5-8 ЖСК Молния-2'!$D$38</definedName>
    <definedName name="_106h_F41">' д.8 к.3 стр.п.5-8 ЖСК Молния-2'!$D$39</definedName>
    <definedName name="_106h_F42">' д.8 к.3 стр.п.5-8 ЖСК Молния-2'!$D$40</definedName>
    <definedName name="_106h_F43">' д.8 к.3 стр.п.5-8 ЖСК Молния-2'!$D$41</definedName>
    <definedName name="_106h_F44">' д.8 к.3 стр.п.5-8 ЖСК Молния-2'!$D$42</definedName>
    <definedName name="_106h_F45">' д.8 к.3 стр.п.5-8 ЖСК Молния-2'!$D$43</definedName>
    <definedName name="_106h_F46">' д.8 к.3 стр.п.5-8 ЖСК Молния-2'!$D$44</definedName>
    <definedName name="_106h_F47">' д.8 к.3 стр.п.5-8 ЖСК Молния-2'!$D$45</definedName>
    <definedName name="_106h_F48">' д.8 к.3 стр.п.5-8 ЖСК Молния-2'!$D$46</definedName>
    <definedName name="_106h_F49">' д.8 к.3 стр.п.5-8 ЖСК Молния-2'!$D$47</definedName>
    <definedName name="_106h_F50">' д.8 к.3 стр.п.5-8 ЖСК Молния-2'!$D$48</definedName>
    <definedName name="_106h_F51">' д.8 к.3 стр.п.5-8 ЖСК Молния-2'!$D$49</definedName>
    <definedName name="_106h_F52">' д.8 к.3 стр.п.5-8 ЖСК Молния-2'!#REF!</definedName>
    <definedName name="_106h_F53">' д.8 к.3 стр.п.5-8 ЖСК Молния-2'!$D$50</definedName>
    <definedName name="_106h_F54">' д.8 к.3 стр.п.5-8 ЖСК Молния-2'!$D$51</definedName>
    <definedName name="_106h_F55">' д.8 к.3 стр.п.5-8 ЖСК Молния-2'!$D$52</definedName>
    <definedName name="_106h_F56">' д.8 к.3 стр.п.5-8 ЖСК Молния-2'!$D$53</definedName>
    <definedName name="_106h_F57">' д.8 к.3 стр.п.5-8 ЖСК Молния-2'!$D$54</definedName>
    <definedName name="_106h_F58">' д.8 к.3 стр.п.5-8 ЖСК Молния-2'!$D$55</definedName>
    <definedName name="_106h_F59">' д.8 к.3 стр.п.5-8 ЖСК Молния-2'!$D$56</definedName>
    <definedName name="_106h_F60">' д.8 к.3 стр.п.5-8 ЖСК Молния-2'!$D$57</definedName>
    <definedName name="_106h_F61">' д.8 к.3 стр.п.5-8 ЖСК Молния-2'!$D$58</definedName>
    <definedName name="_106h_F62">' д.8 к.3 стр.п.5-8 ЖСК Молния-2'!$D$59</definedName>
    <definedName name="_106h_F63">' д.8 к.3 стр.п.5-8 ЖСК Молния-2'!#REF!</definedName>
    <definedName name="_106h_F64">' д.8 к.3 стр.п.5-8 ЖСК Молния-2'!$D$60</definedName>
    <definedName name="_106h_F65">' д.8 к.3 стр.п.5-8 ЖСК Молния-2'!$D$61</definedName>
    <definedName name="_106h_F7">' д.8 к.3 стр.п.5-8 ЖСК Молния-2'!$D$5</definedName>
    <definedName name="_106h_F8">' д.8 к.3 стр.п.5-8 ЖСК Молния-2'!$D$6</definedName>
    <definedName name="_106h_F9">' д.8 к.3 стр.п.5-8 ЖСК Молния-2'!$D$7</definedName>
    <definedName name="_107h_E10">'Рокотова д.1|12'!$C$8</definedName>
    <definedName name="_107h_E11">'Рокотова д.1|12'!$C$9</definedName>
    <definedName name="_107h_E12">'Рокотова д.1|12'!$C$10</definedName>
    <definedName name="_107h_E13">'Рокотова д.1|12'!$C$11</definedName>
    <definedName name="_107h_E14">'Рокотова д.1|12'!$C$12</definedName>
    <definedName name="_107h_E15">'Рокотова д.1|12'!$C$13</definedName>
    <definedName name="_107h_E16">'Рокотова д.1|12'!$C$14</definedName>
    <definedName name="_107h_E17">'Рокотова д.1|12'!$C$15</definedName>
    <definedName name="_107h_E18">'Рокотова д.1|12'!$C$16</definedName>
    <definedName name="_107h_E19">'Рокотова д.1|12'!$C$17</definedName>
    <definedName name="_107h_E20">'Рокотова д.1|12'!$C$18</definedName>
    <definedName name="_107h_E21">'Рокотова д.1|12'!$C$19</definedName>
    <definedName name="_107h_E22">'Рокотова д.1|12'!$C$20</definedName>
    <definedName name="_107h_E23">'Рокотова д.1|12'!$C$21</definedName>
    <definedName name="_107h_E24">'Рокотова д.1|12'!$C$22</definedName>
    <definedName name="_107h_E25">'Рокотова д.1|12'!$C$23</definedName>
    <definedName name="_107h_E26">'Рокотова д.1|12'!$C$24</definedName>
    <definedName name="_107h_E27">'Рокотова д.1|12'!$C$25</definedName>
    <definedName name="_107h_E28">'Рокотова д.1|12'!$C$26</definedName>
    <definedName name="_107h_E29">'Рокотова д.1|12'!$C$27</definedName>
    <definedName name="_107h_E30">'Рокотова д.1|12'!$C$28</definedName>
    <definedName name="_107h_E31">'Рокотова д.1|12'!$C$29</definedName>
    <definedName name="_107h_E32">'Рокотова д.1|12'!$C$30</definedName>
    <definedName name="_107h_E33">'Рокотова д.1|12'!$C$31</definedName>
    <definedName name="_107h_E34">'Рокотова д.1|12'!$C$32</definedName>
    <definedName name="_107h_E35">'Рокотова д.1|12'!$C$33</definedName>
    <definedName name="_107h_E36">'Рокотова д.1|12'!$C$34</definedName>
    <definedName name="_107h_E37">'Рокотова д.1|12'!$C$35</definedName>
    <definedName name="_107h_E38">'Рокотова д.1|12'!$C$36</definedName>
    <definedName name="_107h_E39">'Рокотова д.1|12'!$C$37</definedName>
    <definedName name="_107h_E40">'Рокотова д.1|12'!$C$38</definedName>
    <definedName name="_107h_E41">'Рокотова д.1|12'!$C$39</definedName>
    <definedName name="_107h_E42">'Рокотова д.1|12'!$C$40</definedName>
    <definedName name="_107h_E43">'Рокотова д.1|12'!$C$41</definedName>
    <definedName name="_107h_E44">'Рокотова д.1|12'!$C$42</definedName>
    <definedName name="_107h_E45">'Рокотова д.1|12'!$C$43</definedName>
    <definedName name="_107h_E46">'Рокотова д.1|12'!$C$44</definedName>
    <definedName name="_107h_E47">'Рокотова д.1|12'!$C$45</definedName>
    <definedName name="_107h_E48">'Рокотова д.1|12'!$C$46</definedName>
    <definedName name="_107h_E49">'Рокотова д.1|12'!$C$47</definedName>
    <definedName name="_107h_E50">'Рокотова д.1|12'!$C$48</definedName>
    <definedName name="_107h_E51">'Рокотова д.1|12'!$C$49</definedName>
    <definedName name="_107h_E52">'Рокотова д.1|12'!#REF!</definedName>
    <definedName name="_107h_E53">'Рокотова д.1|12'!$C$50</definedName>
    <definedName name="_107h_E54">'Рокотова д.1|12'!$C$51</definedName>
    <definedName name="_107h_E55">'Рокотова д.1|12'!$C$52</definedName>
    <definedName name="_107h_E56">'Рокотова д.1|12'!$C$53</definedName>
    <definedName name="_107h_E57">'Рокотова д.1|12'!$C$54</definedName>
    <definedName name="_107h_E58">'Рокотова д.1|12'!$C$55</definedName>
    <definedName name="_107h_E59">'Рокотова д.1|12'!$C$56</definedName>
    <definedName name="_107h_E60">'Рокотова д.1|12'!$C$57</definedName>
    <definedName name="_107h_E61">'Рокотова д.1|12'!$C$58</definedName>
    <definedName name="_107h_E62">'Рокотова д.1|12'!$C$59</definedName>
    <definedName name="_107h_E63">'Рокотова д.1|12'!#REF!</definedName>
    <definedName name="_107h_E64">'Рокотова д.1|12'!$C$60</definedName>
    <definedName name="_107h_E65">'Рокотова д.1|12'!$C$61</definedName>
    <definedName name="_107h_E7">'Рокотова д.1|12'!$C$5</definedName>
    <definedName name="_107h_E8">'Рокотова д.1|12'!$C$6</definedName>
    <definedName name="_107h_E9">'Рокотова д.1|12'!$C$7</definedName>
    <definedName name="_107h_F10">'Рокотова д.1|12'!$D$8</definedName>
    <definedName name="_107h_F11">'Рокотова д.1|12'!$D$9</definedName>
    <definedName name="_107h_F12">'Рокотова д.1|12'!$D$10</definedName>
    <definedName name="_107h_F13">'Рокотова д.1|12'!$D$11</definedName>
    <definedName name="_107h_F14">'Рокотова д.1|12'!$D$12</definedName>
    <definedName name="_107h_F15">'Рокотова д.1|12'!$D$13</definedName>
    <definedName name="_107h_F16">'Рокотова д.1|12'!$D$14</definedName>
    <definedName name="_107h_F17">'Рокотова д.1|12'!$D$15</definedName>
    <definedName name="_107h_F18">'Рокотова д.1|12'!$D$16</definedName>
    <definedName name="_107h_F19">'Рокотова д.1|12'!$D$17</definedName>
    <definedName name="_107h_F20">'Рокотова д.1|12'!$D$18</definedName>
    <definedName name="_107h_F21">'Рокотова д.1|12'!$D$19</definedName>
    <definedName name="_107h_F22">'Рокотова д.1|12'!$D$20</definedName>
    <definedName name="_107h_F23">'Рокотова д.1|12'!$D$21</definedName>
    <definedName name="_107h_F24">'Рокотова д.1|12'!$D$22</definedName>
    <definedName name="_107h_F25">'Рокотова д.1|12'!$D$23</definedName>
    <definedName name="_107h_F26">'Рокотова д.1|12'!$D$24</definedName>
    <definedName name="_107h_F27">'Рокотова д.1|12'!$D$25</definedName>
    <definedName name="_107h_F28">'Рокотова д.1|12'!$D$26</definedName>
    <definedName name="_107h_F29">'Рокотова д.1|12'!$D$27</definedName>
    <definedName name="_107h_F30">'Рокотова д.1|12'!$D$28</definedName>
    <definedName name="_107h_F31">'Рокотова д.1|12'!$D$29</definedName>
    <definedName name="_107h_F32">'Рокотова д.1|12'!$D$30</definedName>
    <definedName name="_107h_F33">'Рокотова д.1|12'!$D$31</definedName>
    <definedName name="_107h_F34">'Рокотова д.1|12'!$D$32</definedName>
    <definedName name="_107h_F35">'Рокотова д.1|12'!$D$33</definedName>
    <definedName name="_107h_F36">'Рокотова д.1|12'!$D$34</definedName>
    <definedName name="_107h_F37">'Рокотова д.1|12'!$D$35</definedName>
    <definedName name="_107h_F38">'Рокотова д.1|12'!$D$36</definedName>
    <definedName name="_107h_F39">'Рокотова д.1|12'!$D$37</definedName>
    <definedName name="_107h_F40">'Рокотова д.1|12'!$D$38</definedName>
    <definedName name="_107h_F41">'Рокотова д.1|12'!$D$39</definedName>
    <definedName name="_107h_F42">'Рокотова д.1|12'!$D$40</definedName>
    <definedName name="_107h_F43">'Рокотова д.1|12'!$D$41</definedName>
    <definedName name="_107h_F44">'Рокотова д.1|12'!$D$42</definedName>
    <definedName name="_107h_F45">'Рокотова д.1|12'!$D$43</definedName>
    <definedName name="_107h_F46">'Рокотова д.1|12'!$D$44</definedName>
    <definedName name="_107h_F47">'Рокотова д.1|12'!$D$45</definedName>
    <definedName name="_107h_F48">'Рокотова д.1|12'!$D$46</definedName>
    <definedName name="_107h_F49">'Рокотова д.1|12'!$D$47</definedName>
    <definedName name="_107h_F50">'Рокотова д.1|12'!$D$48</definedName>
    <definedName name="_107h_F51">'Рокотова д.1|12'!$D$49</definedName>
    <definedName name="_107h_F52">'Рокотова д.1|12'!#REF!</definedName>
    <definedName name="_107h_F53">'Рокотова д.1|12'!$D$50</definedName>
    <definedName name="_107h_F54">'Рокотова д.1|12'!$D$51</definedName>
    <definedName name="_107h_F55">'Рокотова д.1|12'!$D$52</definedName>
    <definedName name="_107h_F56">'Рокотова д.1|12'!$D$53</definedName>
    <definedName name="_107h_F57">'Рокотова д.1|12'!$D$54</definedName>
    <definedName name="_107h_F58">'Рокотова д.1|12'!$D$55</definedName>
    <definedName name="_107h_F59">'Рокотова д.1|12'!$D$56</definedName>
    <definedName name="_107h_F60">'Рокотова д.1|12'!$D$57</definedName>
    <definedName name="_107h_F61">'Рокотова д.1|12'!$D$58</definedName>
    <definedName name="_107h_F62">'Рокотова д.1|12'!$D$59</definedName>
    <definedName name="_107h_F63">'Рокотова д.1|12'!#REF!</definedName>
    <definedName name="_107h_F64">'Рокотова д.1|12'!$D$60</definedName>
    <definedName name="_107h_F65">'Рокотова д.1|12'!$D$61</definedName>
    <definedName name="_107h_F7">'Рокотова д.1|12'!$D$5</definedName>
    <definedName name="_107h_F8">'Рокотова д.1|12'!$D$6</definedName>
    <definedName name="_107h_F9">'Рокотова д.1|12'!$D$7</definedName>
    <definedName name="_108h_E10">'Рокотова д.2|10'!$C$8</definedName>
    <definedName name="_108h_E11">'Рокотова д.2|10'!$C$9</definedName>
    <definedName name="_108h_E12">'Рокотова д.2|10'!$C$10</definedName>
    <definedName name="_108h_E13">'Рокотова д.2|10'!$C$11</definedName>
    <definedName name="_108h_E14">'Рокотова д.2|10'!$C$12</definedName>
    <definedName name="_108h_E15">'Рокотова д.2|10'!$C$13</definedName>
    <definedName name="_108h_E16">'Рокотова д.2|10'!$C$14</definedName>
    <definedName name="_108h_E17">'Рокотова д.2|10'!$C$15</definedName>
    <definedName name="_108h_E18">'Рокотова д.2|10'!$C$16</definedName>
    <definedName name="_108h_E19">'Рокотова д.2|10'!$C$17</definedName>
    <definedName name="_108h_E20">'Рокотова д.2|10'!$C$18</definedName>
    <definedName name="_108h_E21">'Рокотова д.2|10'!$C$19</definedName>
    <definedName name="_108h_E22">'Рокотова д.2|10'!$C$20</definedName>
    <definedName name="_108h_E23">'Рокотова д.2|10'!$C$21</definedName>
    <definedName name="_108h_E24">'Рокотова д.2|10'!$C$22</definedName>
    <definedName name="_108h_E25">'Рокотова д.2|10'!$C$23</definedName>
    <definedName name="_108h_E26">'Рокотова д.2|10'!$C$24</definedName>
    <definedName name="_108h_E27">'Рокотова д.2|10'!$C$25</definedName>
    <definedName name="_108h_E28">'Рокотова д.2|10'!$C$26</definedName>
    <definedName name="_108h_E29">'Рокотова д.2|10'!$C$27</definedName>
    <definedName name="_108h_E30">'Рокотова д.2|10'!$C$28</definedName>
    <definedName name="_108h_E31">'Рокотова д.2|10'!$C$29</definedName>
    <definedName name="_108h_E32">'Рокотова д.2|10'!$C$30</definedName>
    <definedName name="_108h_E33">'Рокотова д.2|10'!$C$31</definedName>
    <definedName name="_108h_E34">'Рокотова д.2|10'!$C$32</definedName>
    <definedName name="_108h_E35">'Рокотова д.2|10'!$C$33</definedName>
    <definedName name="_108h_E36">'Рокотова д.2|10'!$C$34</definedName>
    <definedName name="_108h_E37">'Рокотова д.2|10'!$C$35</definedName>
    <definedName name="_108h_E38">'Рокотова д.2|10'!$C$36</definedName>
    <definedName name="_108h_E39">'Рокотова д.2|10'!$C$37</definedName>
    <definedName name="_108h_E40">'Рокотова д.2|10'!$C$38</definedName>
    <definedName name="_108h_E41">'Рокотова д.2|10'!$C$39</definedName>
    <definedName name="_108h_E42">'Рокотова д.2|10'!$C$40</definedName>
    <definedName name="_108h_E43">'Рокотова д.2|10'!$C$41</definedName>
    <definedName name="_108h_E44">'Рокотова д.2|10'!$C$42</definedName>
    <definedName name="_108h_E45">'Рокотова д.2|10'!$C$43</definedName>
    <definedName name="_108h_E46">'Рокотова д.2|10'!$C$44</definedName>
    <definedName name="_108h_E47">'Рокотова д.2|10'!$C$45</definedName>
    <definedName name="_108h_E48">'Рокотова д.2|10'!$C$46</definedName>
    <definedName name="_108h_E49">'Рокотова д.2|10'!$C$47</definedName>
    <definedName name="_108h_E50">'Рокотова д.2|10'!$C$48</definedName>
    <definedName name="_108h_E51">'Рокотова д.2|10'!$C$49</definedName>
    <definedName name="_108h_E52">'Рокотова д.2|10'!#REF!</definedName>
    <definedName name="_108h_E53">'Рокотова д.2|10'!$C$50</definedName>
    <definedName name="_108h_E54">'Рокотова д.2|10'!$C$51</definedName>
    <definedName name="_108h_E55">'Рокотова д.2|10'!$C$52</definedName>
    <definedName name="_108h_E56">'Рокотова д.2|10'!$C$53</definedName>
    <definedName name="_108h_E57">'Рокотова д.2|10'!$C$54</definedName>
    <definedName name="_108h_E58">'Рокотова д.2|10'!$C$55</definedName>
    <definedName name="_108h_E59">'Рокотова д.2|10'!$C$56</definedName>
    <definedName name="_108h_E60">'Рокотова д.2|10'!$C$57</definedName>
    <definedName name="_108h_E61">'Рокотова д.2|10'!$C$58</definedName>
    <definedName name="_108h_E62">'Рокотова д.2|10'!$C$59</definedName>
    <definedName name="_108h_E63">'Рокотова д.2|10'!#REF!</definedName>
    <definedName name="_108h_E64">'Рокотова д.2|10'!$C$60</definedName>
    <definedName name="_108h_E65">'Рокотова д.2|10'!$C$61</definedName>
    <definedName name="_108h_E7">'Рокотова д.2|10'!$C$5</definedName>
    <definedName name="_108h_E8">'Рокотова д.2|10'!$C$6</definedName>
    <definedName name="_108h_E9">'Рокотова д.2|10'!$C$7</definedName>
    <definedName name="_108h_F10">'Рокотова д.2|10'!$D$8</definedName>
    <definedName name="_108h_F11">'Рокотова д.2|10'!$D$9</definedName>
    <definedName name="_108h_F12">'Рокотова д.2|10'!$D$10</definedName>
    <definedName name="_108h_F13">'Рокотова д.2|10'!$D$11</definedName>
    <definedName name="_108h_F14">'Рокотова д.2|10'!$D$12</definedName>
    <definedName name="_108h_F15">'Рокотова д.2|10'!$D$13</definedName>
    <definedName name="_108h_F16">'Рокотова д.2|10'!$D$14</definedName>
    <definedName name="_108h_F17">'Рокотова д.2|10'!$D$15</definedName>
    <definedName name="_108h_F18">'Рокотова д.2|10'!$D$16</definedName>
    <definedName name="_108h_F19">'Рокотова д.2|10'!$D$17</definedName>
    <definedName name="_108h_F20">'Рокотова д.2|10'!$D$18</definedName>
    <definedName name="_108h_F21">'Рокотова д.2|10'!$D$19</definedName>
    <definedName name="_108h_F22">'Рокотова д.2|10'!$D$20</definedName>
    <definedName name="_108h_F23">'Рокотова д.2|10'!$D$21</definedName>
    <definedName name="_108h_F24">'Рокотова д.2|10'!$D$22</definedName>
    <definedName name="_108h_F25">'Рокотова д.2|10'!$D$23</definedName>
    <definedName name="_108h_F26">'Рокотова д.2|10'!$D$24</definedName>
    <definedName name="_108h_F27">'Рокотова д.2|10'!$D$25</definedName>
    <definedName name="_108h_F28">'Рокотова д.2|10'!$D$26</definedName>
    <definedName name="_108h_F29">'Рокотова д.2|10'!$D$27</definedName>
    <definedName name="_108h_F30">'Рокотова д.2|10'!$D$28</definedName>
    <definedName name="_108h_F31">'Рокотова д.2|10'!$D$29</definedName>
    <definedName name="_108h_F32">'Рокотова д.2|10'!$D$30</definedName>
    <definedName name="_108h_F33">'Рокотова д.2|10'!$D$31</definedName>
    <definedName name="_108h_F34">'Рокотова д.2|10'!$D$32</definedName>
    <definedName name="_108h_F35">'Рокотова д.2|10'!$D$33</definedName>
    <definedName name="_108h_F36">'Рокотова д.2|10'!$D$34</definedName>
    <definedName name="_108h_F37">'Рокотова д.2|10'!$D$35</definedName>
    <definedName name="_108h_F38">'Рокотова д.2|10'!$D$36</definedName>
    <definedName name="_108h_F39">'Рокотова д.2|10'!$D$37</definedName>
    <definedName name="_108h_F40">'Рокотова д.2|10'!$D$38</definedName>
    <definedName name="_108h_F41">'Рокотова д.2|10'!$D$39</definedName>
    <definedName name="_108h_F42">'Рокотова д.2|10'!$D$40</definedName>
    <definedName name="_108h_F43">'Рокотова д.2|10'!$D$41</definedName>
    <definedName name="_108h_F44">'Рокотова д.2|10'!$D$42</definedName>
    <definedName name="_108h_F45">'Рокотова д.2|10'!$D$43</definedName>
    <definedName name="_108h_F46">'Рокотова д.2|10'!$D$44</definedName>
    <definedName name="_108h_F47">'Рокотова д.2|10'!$D$45</definedName>
    <definedName name="_108h_F48">'Рокотова д.2|10'!$D$46</definedName>
    <definedName name="_108h_F49">'Рокотова д.2|10'!$D$47</definedName>
    <definedName name="_108h_F50">'Рокотова д.2|10'!$D$48</definedName>
    <definedName name="_108h_F51">'Рокотова д.2|10'!$D$49</definedName>
    <definedName name="_108h_F52">'Рокотова д.2|10'!#REF!</definedName>
    <definedName name="_108h_F53">'Рокотова д.2|10'!$D$50</definedName>
    <definedName name="_108h_F54">'Рокотова д.2|10'!$D$51</definedName>
    <definedName name="_108h_F55">'Рокотова д.2|10'!$D$52</definedName>
    <definedName name="_108h_F56">'Рокотова д.2|10'!$D$53</definedName>
    <definedName name="_108h_F57">'Рокотова д.2|10'!$D$54</definedName>
    <definedName name="_108h_F58">'Рокотова д.2|10'!$D$55</definedName>
    <definedName name="_108h_F59">'Рокотова д.2|10'!$D$56</definedName>
    <definedName name="_108h_F60">'Рокотова д.2|10'!$D$57</definedName>
    <definedName name="_108h_F61">'Рокотова д.2|10'!$D$58</definedName>
    <definedName name="_108h_F62">'Рокотова д.2|10'!$D$59</definedName>
    <definedName name="_108h_F63">'Рокотова д.2|10'!#REF!</definedName>
    <definedName name="_108h_F64">'Рокотова д.2|10'!$D$60</definedName>
    <definedName name="_108h_F65">'Рокотова д.2|10'!$D$61</definedName>
    <definedName name="_108h_F7">'Рокотова д.2|10'!$D$5</definedName>
    <definedName name="_108h_F8">'Рокотова д.2|10'!$D$6</definedName>
    <definedName name="_108h_F9">'Рокотова д.2|10'!$D$7</definedName>
    <definedName name="_109h_E10">'Рокотова д.3 к.2'!$C$8</definedName>
    <definedName name="_109h_E11">'Рокотова д.3 к.2'!$C$9</definedName>
    <definedName name="_109h_E12">'Рокотова д.3 к.2'!$C$10</definedName>
    <definedName name="_109h_E13">'Рокотова д.3 к.2'!$C$11</definedName>
    <definedName name="_109h_E14">'Рокотова д.3 к.2'!$C$12</definedName>
    <definedName name="_109h_E15">'Рокотова д.3 к.2'!$C$13</definedName>
    <definedName name="_109h_E16">'Рокотова д.3 к.2'!$C$14</definedName>
    <definedName name="_109h_E17">'Рокотова д.3 к.2'!$C$15</definedName>
    <definedName name="_109h_E18">'Рокотова д.3 к.2'!$C$16</definedName>
    <definedName name="_109h_E19">'Рокотова д.3 к.2'!$C$17</definedName>
    <definedName name="_109h_E20">'Рокотова д.3 к.2'!$C$18</definedName>
    <definedName name="_109h_E21">'Рокотова д.3 к.2'!$C$19</definedName>
    <definedName name="_109h_E22">'Рокотова д.3 к.2'!$C$20</definedName>
    <definedName name="_109h_E23">'Рокотова д.3 к.2'!$C$21</definedName>
    <definedName name="_109h_E24">'Рокотова д.3 к.2'!$C$22</definedName>
    <definedName name="_109h_E25">'Рокотова д.3 к.2'!$C$23</definedName>
    <definedName name="_109h_E26">'Рокотова д.3 к.2'!$C$24</definedName>
    <definedName name="_109h_E27">'Рокотова д.3 к.2'!$C$25</definedName>
    <definedName name="_109h_E28">'Рокотова д.3 к.2'!$C$26</definedName>
    <definedName name="_109h_E29">'Рокотова д.3 к.2'!$C$27</definedName>
    <definedName name="_109h_E30">'Рокотова д.3 к.2'!$C$28</definedName>
    <definedName name="_109h_E31">'Рокотова д.3 к.2'!$C$29</definedName>
    <definedName name="_109h_E32">'Рокотова д.3 к.2'!$C$30</definedName>
    <definedName name="_109h_E33">'Рокотова д.3 к.2'!$C$31</definedName>
    <definedName name="_109h_E34">'Рокотова д.3 к.2'!$C$32</definedName>
    <definedName name="_109h_E35">'Рокотова д.3 к.2'!$C$33</definedName>
    <definedName name="_109h_E36">'Рокотова д.3 к.2'!$C$34</definedName>
    <definedName name="_109h_E37">'Рокотова д.3 к.2'!$C$35</definedName>
    <definedName name="_109h_E38">'Рокотова д.3 к.2'!$C$36</definedName>
    <definedName name="_109h_E39">'Рокотова д.3 к.2'!$C$37</definedName>
    <definedName name="_109h_E40">'Рокотова д.3 к.2'!$C$38</definedName>
    <definedName name="_109h_E41">'Рокотова д.3 к.2'!$C$39</definedName>
    <definedName name="_109h_E42">'Рокотова д.3 к.2'!$C$40</definedName>
    <definedName name="_109h_E43">'Рокотова д.3 к.2'!$C$41</definedName>
    <definedName name="_109h_E44">'Рокотова д.3 к.2'!$C$42</definedName>
    <definedName name="_109h_E45">'Рокотова д.3 к.2'!$C$43</definedName>
    <definedName name="_109h_E46">'Рокотова д.3 к.2'!$C$44</definedName>
    <definedName name="_109h_E47">'Рокотова д.3 к.2'!$C$45</definedName>
    <definedName name="_109h_E48">'Рокотова д.3 к.2'!$C$46</definedName>
    <definedName name="_109h_E49">'Рокотова д.3 к.2'!$C$47</definedName>
    <definedName name="_109h_E50">'Рокотова д.3 к.2'!$C$48</definedName>
    <definedName name="_109h_E51">'Рокотова д.3 к.2'!$C$49</definedName>
    <definedName name="_109h_E52">'Рокотова д.3 к.2'!#REF!</definedName>
    <definedName name="_109h_E53">'Рокотова д.3 к.2'!$C$50</definedName>
    <definedName name="_109h_E54">'Рокотова д.3 к.2'!$C$51</definedName>
    <definedName name="_109h_E55">'Рокотова д.3 к.2'!$C$52</definedName>
    <definedName name="_109h_E56">'Рокотова д.3 к.2'!$C$53</definedName>
    <definedName name="_109h_E57">'Рокотова д.3 к.2'!$C$54</definedName>
    <definedName name="_109h_E58">'Рокотова д.3 к.2'!$C$55</definedName>
    <definedName name="_109h_E59">'Рокотова д.3 к.2'!$C$56</definedName>
    <definedName name="_109h_E60">'Рокотова д.3 к.2'!$C$57</definedName>
    <definedName name="_109h_E61">'Рокотова д.3 к.2'!$C$58</definedName>
    <definedName name="_109h_E62">'Рокотова д.3 к.2'!$C$59</definedName>
    <definedName name="_109h_E63">'Рокотова д.3 к.2'!#REF!</definedName>
    <definedName name="_109h_E64">'Рокотова д.3 к.2'!$C$60</definedName>
    <definedName name="_109h_E65">'Рокотова д.3 к.2'!$C$61</definedName>
    <definedName name="_109h_E7">'Рокотова д.3 к.2'!$C$5</definedName>
    <definedName name="_109h_E8">'Рокотова д.3 к.2'!$C$6</definedName>
    <definedName name="_109h_E9">'Рокотова д.3 к.2'!$C$7</definedName>
    <definedName name="_109h_F10">'Рокотова д.3 к.2'!$D$8</definedName>
    <definedName name="_109h_F11">'Рокотова д.3 к.2'!$D$9</definedName>
    <definedName name="_109h_F12">'Рокотова д.3 к.2'!$D$10</definedName>
    <definedName name="_109h_F13">'Рокотова д.3 к.2'!$D$11</definedName>
    <definedName name="_109h_F14">'Рокотова д.3 к.2'!$D$12</definedName>
    <definedName name="_109h_F15">'Рокотова д.3 к.2'!$D$13</definedName>
    <definedName name="_109h_F16">'Рокотова д.3 к.2'!$D$14</definedName>
    <definedName name="_109h_F17">'Рокотова д.3 к.2'!$D$15</definedName>
    <definedName name="_109h_F18">'Рокотова д.3 к.2'!$D$16</definedName>
    <definedName name="_109h_F19">'Рокотова д.3 к.2'!$D$17</definedName>
    <definedName name="_109h_F20">'Рокотова д.3 к.2'!$D$18</definedName>
    <definedName name="_109h_F21">'Рокотова д.3 к.2'!$D$19</definedName>
    <definedName name="_109h_F22">'Рокотова д.3 к.2'!$D$20</definedName>
    <definedName name="_109h_F23">'Рокотова д.3 к.2'!$D$21</definedName>
    <definedName name="_109h_F24">'Рокотова д.3 к.2'!$D$22</definedName>
    <definedName name="_109h_F25">'Рокотова д.3 к.2'!$D$23</definedName>
    <definedName name="_109h_F26">'Рокотова д.3 к.2'!$D$24</definedName>
    <definedName name="_109h_F27">'Рокотова д.3 к.2'!$D$25</definedName>
    <definedName name="_109h_F28">'Рокотова д.3 к.2'!$D$26</definedName>
    <definedName name="_109h_F29">'Рокотова д.3 к.2'!$D$27</definedName>
    <definedName name="_109h_F30">'Рокотова д.3 к.2'!$D$28</definedName>
    <definedName name="_109h_F31">'Рокотова д.3 к.2'!$D$29</definedName>
    <definedName name="_109h_F32">'Рокотова д.3 к.2'!$D$30</definedName>
    <definedName name="_109h_F33">'Рокотова д.3 к.2'!$D$31</definedName>
    <definedName name="_109h_F34">'Рокотова д.3 к.2'!$D$32</definedName>
    <definedName name="_109h_F35">'Рокотова д.3 к.2'!$D$33</definedName>
    <definedName name="_109h_F36">'Рокотова д.3 к.2'!$D$34</definedName>
    <definedName name="_109h_F37">'Рокотова д.3 к.2'!$D$35</definedName>
    <definedName name="_109h_F38">'Рокотова д.3 к.2'!$D$36</definedName>
    <definedName name="_109h_F39">'Рокотова д.3 к.2'!$D$37</definedName>
    <definedName name="_109h_F40">'Рокотова д.3 к.2'!$D$38</definedName>
    <definedName name="_109h_F41">'Рокотова д.3 к.2'!$D$39</definedName>
    <definedName name="_109h_F42">'Рокотова д.3 к.2'!$D$40</definedName>
    <definedName name="_109h_F43">'Рокотова д.3 к.2'!$D$41</definedName>
    <definedName name="_109h_F44">'Рокотова д.3 к.2'!$D$42</definedName>
    <definedName name="_109h_F45">'Рокотова д.3 к.2'!$D$43</definedName>
    <definedName name="_109h_F46">'Рокотова д.3 к.2'!$D$44</definedName>
    <definedName name="_109h_F47">'Рокотова д.3 к.2'!$D$45</definedName>
    <definedName name="_109h_F48">'Рокотова д.3 к.2'!$D$46</definedName>
    <definedName name="_109h_F49">'Рокотова д.3 к.2'!$D$47</definedName>
    <definedName name="_109h_F50">'Рокотова д.3 к.2'!$D$48</definedName>
    <definedName name="_109h_F51">'Рокотова д.3 к.2'!$D$49</definedName>
    <definedName name="_109h_F52">'Рокотова д.3 к.2'!#REF!</definedName>
    <definedName name="_109h_F53">'Рокотова д.3 к.2'!$D$50</definedName>
    <definedName name="_109h_F54">'Рокотова д.3 к.2'!$D$51</definedName>
    <definedName name="_109h_F55">'Рокотова д.3 к.2'!$D$52</definedName>
    <definedName name="_109h_F56">'Рокотова д.3 к.2'!$D$53</definedName>
    <definedName name="_109h_F57">'Рокотова д.3 к.2'!$D$54</definedName>
    <definedName name="_109h_F58">'Рокотова д.3 к.2'!$D$55</definedName>
    <definedName name="_109h_F59">'Рокотова д.3 к.2'!$D$56</definedName>
    <definedName name="_109h_F60">'Рокотова д.3 к.2'!$D$57</definedName>
    <definedName name="_109h_F61">'Рокотова д.3 к.2'!$D$58</definedName>
    <definedName name="_109h_F62">'Рокотова д.3 к.2'!$D$59</definedName>
    <definedName name="_109h_F63">'Рокотова д.3 к.2'!#REF!</definedName>
    <definedName name="_109h_F64">'Рокотова д.3 к.2'!$D$60</definedName>
    <definedName name="_109h_F65">'Рокотова д.3 к.2'!$D$61</definedName>
    <definedName name="_109h_F7">'Рокотова д.3 к.2'!$D$5</definedName>
    <definedName name="_109h_F8">'Рокотова д.3 к.2'!$D$6</definedName>
    <definedName name="_109h_F9">'Рокотова д.3 к.2'!$D$7</definedName>
    <definedName name="_10h_E10">'Вильнюсская д.13'!$C$8</definedName>
    <definedName name="_10h_E11">'Вильнюсская д.13'!$C$9</definedName>
    <definedName name="_10h_E12">'Вильнюсская д.13'!$C$10</definedName>
    <definedName name="_10h_E13">'Вильнюсская д.13'!$C$11</definedName>
    <definedName name="_10h_E14">'Вильнюсская д.13'!$C$12</definedName>
    <definedName name="_10h_E15">'Вильнюсская д.13'!$C$13</definedName>
    <definedName name="_10h_E16">'Вильнюсская д.13'!$C$14</definedName>
    <definedName name="_10h_E17">'Вильнюсская д.13'!$C$15</definedName>
    <definedName name="_10h_E18">'Вильнюсская д.13'!$C$16</definedName>
    <definedName name="_10h_E19">'Вильнюсская д.13'!$C$17</definedName>
    <definedName name="_10h_E20">'Вильнюсская д.13'!$C$18</definedName>
    <definedName name="_10h_E21">'Вильнюсская д.13'!$C$19</definedName>
    <definedName name="_10h_E22">'Вильнюсская д.13'!$C$20</definedName>
    <definedName name="_10h_E23">'Вильнюсская д.13'!$C$21</definedName>
    <definedName name="_10h_E24">'Вильнюсская д.13'!$C$22</definedName>
    <definedName name="_10h_E25">'Вильнюсская д.13'!$C$23</definedName>
    <definedName name="_10h_E26">'Вильнюсская д.13'!$C$24</definedName>
    <definedName name="_10h_E27">'Вильнюсская д.13'!$C$25</definedName>
    <definedName name="_10h_E28">'Вильнюсская д.13'!$C$26</definedName>
    <definedName name="_10h_E29">'Вильнюсская д.13'!$C$27</definedName>
    <definedName name="_10h_E30">'Вильнюсская д.13'!$C$28</definedName>
    <definedName name="_10h_E31">'Вильнюсская д.13'!$C$29</definedName>
    <definedName name="_10h_E32">'Вильнюсская д.13'!$C$30</definedName>
    <definedName name="_10h_E33">'Вильнюсская д.13'!$C$31</definedName>
    <definedName name="_10h_E34">'Вильнюсская д.13'!$C$32</definedName>
    <definedName name="_10h_E35">'Вильнюсская д.13'!$C$33</definedName>
    <definedName name="_10h_E36">'Вильнюсская д.13'!$C$34</definedName>
    <definedName name="_10h_E37">'Вильнюсская д.13'!$C$35</definedName>
    <definedName name="_10h_E38">'Вильнюсская д.13'!$C$36</definedName>
    <definedName name="_10h_E39">'Вильнюсская д.13'!$C$37</definedName>
    <definedName name="_10h_E40">'Вильнюсская д.13'!$C$38</definedName>
    <definedName name="_10h_E41">'Вильнюсская д.13'!$C$39</definedName>
    <definedName name="_10h_E42">'Вильнюсская д.13'!$C$40</definedName>
    <definedName name="_10h_E43">'Вильнюсская д.13'!$C$41</definedName>
    <definedName name="_10h_E44">'Вильнюсская д.13'!$C$42</definedName>
    <definedName name="_10h_E45">'Вильнюсская д.13'!$C$43</definedName>
    <definedName name="_10h_E46">'Вильнюсская д.13'!$C$44</definedName>
    <definedName name="_10h_E47">'Вильнюсская д.13'!$C$45</definedName>
    <definedName name="_10h_E48">'Вильнюсская д.13'!$C$46</definedName>
    <definedName name="_10h_E49">'Вильнюсская д.13'!$C$47</definedName>
    <definedName name="_10h_E50">'Вильнюсская д.13'!$C$48</definedName>
    <definedName name="_10h_E51">'Вильнюсская д.13'!$C$49</definedName>
    <definedName name="_10h_E52">'Вильнюсская д.13'!#REF!</definedName>
    <definedName name="_10h_E53">'Вильнюсская д.13'!$C$50</definedName>
    <definedName name="_10h_E54">'Вильнюсская д.13'!$C$51</definedName>
    <definedName name="_10h_E55">'Вильнюсская д.13'!$C$52</definedName>
    <definedName name="_10h_E56">'Вильнюсская д.13'!$C$53</definedName>
    <definedName name="_10h_E57">'Вильнюсская д.13'!$C$54</definedName>
    <definedName name="_10h_E58">'Вильнюсская д.13'!$C$55</definedName>
    <definedName name="_10h_E59">'Вильнюсская д.13'!$C$56</definedName>
    <definedName name="_10h_E60">'Вильнюсская д.13'!$C$57</definedName>
    <definedName name="_10h_E61">'Вильнюсская д.13'!$C$58</definedName>
    <definedName name="_10h_E62">'Вильнюсская д.13'!$C$59</definedName>
    <definedName name="_10h_E63">'Вильнюсская д.13'!#REF!</definedName>
    <definedName name="_10h_E64">'Вильнюсская д.13'!$C$60</definedName>
    <definedName name="_10h_E65">'Вильнюсская д.13'!$C$61</definedName>
    <definedName name="_10h_E7">'Вильнюсская д.13'!$C$5</definedName>
    <definedName name="_10h_E8">'Вильнюсская д.13'!$C$6</definedName>
    <definedName name="_10h_E9">'Вильнюсская д.13'!$C$7</definedName>
    <definedName name="_10h_F10">'Вильнюсская д.13'!$D$8</definedName>
    <definedName name="_10h_F11">'Вильнюсская д.13'!$D$9</definedName>
    <definedName name="_10h_F12">'Вильнюсская д.13'!$D$10</definedName>
    <definedName name="_10h_F13">'Вильнюсская д.13'!$D$11</definedName>
    <definedName name="_10h_F14">'Вильнюсская д.13'!$D$12</definedName>
    <definedName name="_10h_F15">'Вильнюсская д.13'!$D$13</definedName>
    <definedName name="_10h_F16">'Вильнюсская д.13'!$D$14</definedName>
    <definedName name="_10h_F17">'Вильнюсская д.13'!$D$15</definedName>
    <definedName name="_10h_F18">'Вильнюсская д.13'!$D$16</definedName>
    <definedName name="_10h_F19">'Вильнюсская д.13'!$D$17</definedName>
    <definedName name="_10h_F20">'Вильнюсская д.13'!$D$18</definedName>
    <definedName name="_10h_F21">'Вильнюсская д.13'!$D$19</definedName>
    <definedName name="_10h_F22">'Вильнюсская д.13'!$D$20</definedName>
    <definedName name="_10h_F23">'Вильнюсская д.13'!$D$21</definedName>
    <definedName name="_10h_F24">'Вильнюсская д.13'!$D$22</definedName>
    <definedName name="_10h_F25">'Вильнюсская д.13'!$D$23</definedName>
    <definedName name="_10h_F26">'Вильнюсская д.13'!$D$24</definedName>
    <definedName name="_10h_F27">'Вильнюсская д.13'!$D$25</definedName>
    <definedName name="_10h_F28">'Вильнюсская д.13'!$D$26</definedName>
    <definedName name="_10h_F29">'Вильнюсская д.13'!$D$27</definedName>
    <definedName name="_10h_F30">'Вильнюсская д.13'!$D$28</definedName>
    <definedName name="_10h_F31">'Вильнюсская д.13'!$D$29</definedName>
    <definedName name="_10h_F32">'Вильнюсская д.13'!$D$30</definedName>
    <definedName name="_10h_F33">'Вильнюсская д.13'!$D$31</definedName>
    <definedName name="_10h_F34">'Вильнюсская д.13'!$D$32</definedName>
    <definedName name="_10h_F35">'Вильнюсская д.13'!$D$33</definedName>
    <definedName name="_10h_F36">'Вильнюсская д.13'!$D$34</definedName>
    <definedName name="_10h_F37">'Вильнюсская д.13'!$D$35</definedName>
    <definedName name="_10h_F38">'Вильнюсская д.13'!$D$36</definedName>
    <definedName name="_10h_F39">'Вильнюсская д.13'!$D$37</definedName>
    <definedName name="_10h_F40">'Вильнюсская д.13'!$D$38</definedName>
    <definedName name="_10h_F41">'Вильнюсская д.13'!$D$39</definedName>
    <definedName name="_10h_F42">'Вильнюсская д.13'!$D$40</definedName>
    <definedName name="_10h_F43">'Вильнюсская д.13'!$D$41</definedName>
    <definedName name="_10h_F44">'Вильнюсская д.13'!$D$42</definedName>
    <definedName name="_10h_F45">'Вильнюсская д.13'!$D$43</definedName>
    <definedName name="_10h_F46">'Вильнюсская д.13'!$D$44</definedName>
    <definedName name="_10h_F47">'Вильнюсская д.13'!$D$45</definedName>
    <definedName name="_10h_F48">'Вильнюсская д.13'!$D$46</definedName>
    <definedName name="_10h_F49">'Вильнюсская д.13'!$D$47</definedName>
    <definedName name="_10h_F50">'Вильнюсская д.13'!$D$48</definedName>
    <definedName name="_10h_F51">'Вильнюсская д.13'!$D$49</definedName>
    <definedName name="_10h_F52">'Вильнюсская д.13'!#REF!</definedName>
    <definedName name="_10h_F53">'Вильнюсская д.13'!$D$50</definedName>
    <definedName name="_10h_F54">'Вильнюсская д.13'!$D$51</definedName>
    <definedName name="_10h_F55">'Вильнюсская д.13'!$D$52</definedName>
    <definedName name="_10h_F56">'Вильнюсская д.13'!$D$53</definedName>
    <definedName name="_10h_F57">'Вильнюсская д.13'!$D$54</definedName>
    <definedName name="_10h_F58">'Вильнюсская д.13'!$D$55</definedName>
    <definedName name="_10h_F59">'Вильнюсская д.13'!$D$56</definedName>
    <definedName name="_10h_F60">'Вильнюсская д.13'!$D$57</definedName>
    <definedName name="_10h_F61">'Вильнюсская д.13'!$D$58</definedName>
    <definedName name="_10h_F62">'Вильнюсская д.13'!$D$59</definedName>
    <definedName name="_10h_F63">'Вильнюсская д.13'!#REF!</definedName>
    <definedName name="_10h_F64">'Вильнюсская д.13'!$D$60</definedName>
    <definedName name="_10h_F65">'Вильнюсская д.13'!$D$61</definedName>
    <definedName name="_10h_F7">'Вильнюсская д.13'!$D$5</definedName>
    <definedName name="_10h_F8">'Вильнюсская д.13'!$D$6</definedName>
    <definedName name="_10h_F9">'Вильнюсская д.13'!$D$7</definedName>
    <definedName name="_110h_E10">'Р~ д.4 к.2 стр.п.1-3 ЖСК Жасмин'!$C$8</definedName>
    <definedName name="_110h_E11">'Р~ д.4 к.2 стр.п.1-3 ЖСК Жасмин'!$C$9</definedName>
    <definedName name="_110h_E12">'Р~ д.4 к.2 стр.п.1-3 ЖСК Жасмин'!$C$10</definedName>
    <definedName name="_110h_E13">'Р~ д.4 к.2 стр.п.1-3 ЖСК Жасмин'!$C$11</definedName>
    <definedName name="_110h_E14">'Р~ д.4 к.2 стр.п.1-3 ЖСК Жасмин'!$C$12</definedName>
    <definedName name="_110h_E15">'Р~ д.4 к.2 стр.п.1-3 ЖСК Жасмин'!$C$13</definedName>
    <definedName name="_110h_E16">'Р~ д.4 к.2 стр.п.1-3 ЖСК Жасмин'!$C$14</definedName>
    <definedName name="_110h_E17">'Р~ д.4 к.2 стр.п.1-3 ЖСК Жасмин'!$C$15</definedName>
    <definedName name="_110h_E18">'Р~ д.4 к.2 стр.п.1-3 ЖСК Жасмин'!$C$16</definedName>
    <definedName name="_110h_E19">'Р~ д.4 к.2 стр.п.1-3 ЖСК Жасмин'!$C$17</definedName>
    <definedName name="_110h_E20">'Р~ д.4 к.2 стр.п.1-3 ЖСК Жасмин'!$C$18</definedName>
    <definedName name="_110h_E21">'Р~ д.4 к.2 стр.п.1-3 ЖСК Жасмин'!$C$19</definedName>
    <definedName name="_110h_E22">'Р~ д.4 к.2 стр.п.1-3 ЖСК Жасмин'!$C$20</definedName>
    <definedName name="_110h_E23">'Р~ д.4 к.2 стр.п.1-3 ЖСК Жасмин'!$C$21</definedName>
    <definedName name="_110h_E24">'Р~ д.4 к.2 стр.п.1-3 ЖСК Жасмин'!$C$22</definedName>
    <definedName name="_110h_E25">'Р~ д.4 к.2 стр.п.1-3 ЖСК Жасмин'!$C$23</definedName>
    <definedName name="_110h_E26">'Р~ д.4 к.2 стр.п.1-3 ЖСК Жасмин'!$C$24</definedName>
    <definedName name="_110h_E27">'Р~ д.4 к.2 стр.п.1-3 ЖСК Жасмин'!$C$25</definedName>
    <definedName name="_110h_E28">'Р~ д.4 к.2 стр.п.1-3 ЖСК Жасмин'!$C$26</definedName>
    <definedName name="_110h_E29">'Р~ д.4 к.2 стр.п.1-3 ЖСК Жасмин'!$C$27</definedName>
    <definedName name="_110h_E30">'Р~ д.4 к.2 стр.п.1-3 ЖСК Жасмин'!$C$28</definedName>
    <definedName name="_110h_E31">'Р~ д.4 к.2 стр.п.1-3 ЖСК Жасмин'!$C$29</definedName>
    <definedName name="_110h_E32">'Р~ д.4 к.2 стр.п.1-3 ЖСК Жасмин'!$C$30</definedName>
    <definedName name="_110h_E33">'Р~ д.4 к.2 стр.п.1-3 ЖСК Жасмин'!$C$31</definedName>
    <definedName name="_110h_E34">'Р~ д.4 к.2 стр.п.1-3 ЖСК Жасмин'!$C$32</definedName>
    <definedName name="_110h_E35">'Р~ д.4 к.2 стр.п.1-3 ЖСК Жасмин'!$C$33</definedName>
    <definedName name="_110h_E36">'Р~ д.4 к.2 стр.п.1-3 ЖСК Жасмин'!$C$34</definedName>
    <definedName name="_110h_E37">'Р~ д.4 к.2 стр.п.1-3 ЖСК Жасмин'!$C$35</definedName>
    <definedName name="_110h_E38">'Р~ д.4 к.2 стр.п.1-3 ЖСК Жасмин'!$C$36</definedName>
    <definedName name="_110h_E39">'Р~ д.4 к.2 стр.п.1-3 ЖСК Жасмин'!$C$37</definedName>
    <definedName name="_110h_E40">'Р~ д.4 к.2 стр.п.1-3 ЖСК Жасмин'!$C$38</definedName>
    <definedName name="_110h_E41">'Р~ д.4 к.2 стр.п.1-3 ЖСК Жасмин'!$C$39</definedName>
    <definedName name="_110h_E42">'Р~ д.4 к.2 стр.п.1-3 ЖСК Жасмин'!$C$40</definedName>
    <definedName name="_110h_E43">'Р~ д.4 к.2 стр.п.1-3 ЖСК Жасмин'!$C$41</definedName>
    <definedName name="_110h_E44">'Р~ д.4 к.2 стр.п.1-3 ЖСК Жасмин'!$C$42</definedName>
    <definedName name="_110h_E45">'Р~ д.4 к.2 стр.п.1-3 ЖСК Жасмин'!$C$43</definedName>
    <definedName name="_110h_E46">'Р~ д.4 к.2 стр.п.1-3 ЖСК Жасмин'!$C$44</definedName>
    <definedName name="_110h_E47">'Р~ д.4 к.2 стр.п.1-3 ЖСК Жасмин'!$C$45</definedName>
    <definedName name="_110h_E48">'Р~ д.4 к.2 стр.п.1-3 ЖСК Жасмин'!$C$46</definedName>
    <definedName name="_110h_E49">'Р~ д.4 к.2 стр.п.1-3 ЖСК Жасмин'!$C$47</definedName>
    <definedName name="_110h_E50">'Р~ д.4 к.2 стр.п.1-3 ЖСК Жасмин'!$C$48</definedName>
    <definedName name="_110h_E51">'Р~ д.4 к.2 стр.п.1-3 ЖСК Жасмин'!$C$49</definedName>
    <definedName name="_110h_E52">'Р~ д.4 к.2 стр.п.1-3 ЖСК Жасмин'!#REF!</definedName>
    <definedName name="_110h_E53">'Р~ д.4 к.2 стр.п.1-3 ЖСК Жасмин'!$C$50</definedName>
    <definedName name="_110h_E54">'Р~ д.4 к.2 стр.п.1-3 ЖСК Жасмин'!$C$51</definedName>
    <definedName name="_110h_E55">'Р~ д.4 к.2 стр.п.1-3 ЖСК Жасмин'!$C$52</definedName>
    <definedName name="_110h_E56">'Р~ д.4 к.2 стр.п.1-3 ЖСК Жасмин'!$C$53</definedName>
    <definedName name="_110h_E57">'Р~ д.4 к.2 стр.п.1-3 ЖСК Жасмин'!$C$54</definedName>
    <definedName name="_110h_E58">'Р~ д.4 к.2 стр.п.1-3 ЖСК Жасмин'!$C$55</definedName>
    <definedName name="_110h_E59">'Р~ д.4 к.2 стр.п.1-3 ЖСК Жасмин'!$C$56</definedName>
    <definedName name="_110h_E60">'Р~ д.4 к.2 стр.п.1-3 ЖСК Жасмин'!$C$57</definedName>
    <definedName name="_110h_E61">'Р~ д.4 к.2 стр.п.1-3 ЖСК Жасмин'!$C$58</definedName>
    <definedName name="_110h_E62">'Р~ д.4 к.2 стр.п.1-3 ЖСК Жасмин'!$C$59</definedName>
    <definedName name="_110h_E63">'Р~ д.4 к.2 стр.п.1-3 ЖСК Жасмин'!#REF!</definedName>
    <definedName name="_110h_E64">'Р~ д.4 к.2 стр.п.1-3 ЖСК Жасмин'!$C$60</definedName>
    <definedName name="_110h_E65">'Р~ д.4 к.2 стр.п.1-3 ЖСК Жасмин'!$C$61</definedName>
    <definedName name="_110h_E7">'Р~ д.4 к.2 стр.п.1-3 ЖСК Жасмин'!$C$5</definedName>
    <definedName name="_110h_E8">'Р~ д.4 к.2 стр.п.1-3 ЖСК Жасмин'!$C$6</definedName>
    <definedName name="_110h_E9">'Р~ д.4 к.2 стр.п.1-3 ЖСК Жасмин'!$C$7</definedName>
    <definedName name="_110h_F10">'Р~ д.4 к.2 стр.п.1-3 ЖСК Жасмин'!$D$8</definedName>
    <definedName name="_110h_F11">'Р~ д.4 к.2 стр.п.1-3 ЖСК Жасмин'!$D$9</definedName>
    <definedName name="_110h_F12">'Р~ д.4 к.2 стр.п.1-3 ЖСК Жасмин'!$D$10</definedName>
    <definedName name="_110h_F13">'Р~ д.4 к.2 стр.п.1-3 ЖСК Жасмин'!$D$11</definedName>
    <definedName name="_110h_F14">'Р~ д.4 к.2 стр.п.1-3 ЖСК Жасмин'!$D$12</definedName>
    <definedName name="_110h_F15">'Р~ д.4 к.2 стр.п.1-3 ЖСК Жасмин'!$D$13</definedName>
    <definedName name="_110h_F16">'Р~ д.4 к.2 стр.п.1-3 ЖСК Жасмин'!$D$14</definedName>
    <definedName name="_110h_F17">'Р~ д.4 к.2 стр.п.1-3 ЖСК Жасмин'!$D$15</definedName>
    <definedName name="_110h_F18">'Р~ д.4 к.2 стр.п.1-3 ЖСК Жасмин'!$D$16</definedName>
    <definedName name="_110h_F19">'Р~ д.4 к.2 стр.п.1-3 ЖСК Жасмин'!$D$17</definedName>
    <definedName name="_110h_F20">'Р~ д.4 к.2 стр.п.1-3 ЖСК Жасмин'!$D$18</definedName>
    <definedName name="_110h_F21">'Р~ д.4 к.2 стр.п.1-3 ЖСК Жасмин'!$D$19</definedName>
    <definedName name="_110h_F22">'Р~ д.4 к.2 стр.п.1-3 ЖСК Жасмин'!$D$20</definedName>
    <definedName name="_110h_F23">'Р~ д.4 к.2 стр.п.1-3 ЖСК Жасмин'!$D$21</definedName>
    <definedName name="_110h_F24">'Р~ д.4 к.2 стр.п.1-3 ЖСК Жасмин'!$D$22</definedName>
    <definedName name="_110h_F25">'Р~ д.4 к.2 стр.п.1-3 ЖСК Жасмин'!$D$23</definedName>
    <definedName name="_110h_F26">'Р~ д.4 к.2 стр.п.1-3 ЖСК Жасмин'!$D$24</definedName>
    <definedName name="_110h_F27">'Р~ д.4 к.2 стр.п.1-3 ЖСК Жасмин'!$D$25</definedName>
    <definedName name="_110h_F28">'Р~ д.4 к.2 стр.п.1-3 ЖСК Жасмин'!$D$26</definedName>
    <definedName name="_110h_F29">'Р~ д.4 к.2 стр.п.1-3 ЖСК Жасмин'!$D$27</definedName>
    <definedName name="_110h_F30">'Р~ д.4 к.2 стр.п.1-3 ЖСК Жасмин'!$D$28</definedName>
    <definedName name="_110h_F31">'Р~ д.4 к.2 стр.п.1-3 ЖСК Жасмин'!$D$29</definedName>
    <definedName name="_110h_F32">'Р~ д.4 к.2 стр.п.1-3 ЖСК Жасмин'!$D$30</definedName>
    <definedName name="_110h_F33">'Р~ д.4 к.2 стр.п.1-3 ЖСК Жасмин'!$D$31</definedName>
    <definedName name="_110h_F34">'Р~ д.4 к.2 стр.п.1-3 ЖСК Жасмин'!$D$32</definedName>
    <definedName name="_110h_F35">'Р~ д.4 к.2 стр.п.1-3 ЖСК Жасмин'!$D$33</definedName>
    <definedName name="_110h_F36">'Р~ д.4 к.2 стр.п.1-3 ЖСК Жасмин'!$D$34</definedName>
    <definedName name="_110h_F37">'Р~ д.4 к.2 стр.п.1-3 ЖСК Жасмин'!$D$35</definedName>
    <definedName name="_110h_F38">'Р~ д.4 к.2 стр.п.1-3 ЖСК Жасмин'!$D$36</definedName>
    <definedName name="_110h_F39">'Р~ д.4 к.2 стр.п.1-3 ЖСК Жасмин'!$D$37</definedName>
    <definedName name="_110h_F40">'Р~ д.4 к.2 стр.п.1-3 ЖСК Жасмин'!$D$38</definedName>
    <definedName name="_110h_F41">'Р~ д.4 к.2 стр.п.1-3 ЖСК Жасмин'!$D$39</definedName>
    <definedName name="_110h_F42">'Р~ д.4 к.2 стр.п.1-3 ЖСК Жасмин'!$D$40</definedName>
    <definedName name="_110h_F43">'Р~ д.4 к.2 стр.п.1-3 ЖСК Жасмин'!$D$41</definedName>
    <definedName name="_110h_F44">'Р~ д.4 к.2 стр.п.1-3 ЖСК Жасмин'!$D$42</definedName>
    <definedName name="_110h_F45">'Р~ д.4 к.2 стр.п.1-3 ЖСК Жасмин'!$D$43</definedName>
    <definedName name="_110h_F46">'Р~ д.4 к.2 стр.п.1-3 ЖСК Жасмин'!$D$44</definedName>
    <definedName name="_110h_F47">'Р~ д.4 к.2 стр.п.1-3 ЖСК Жасмин'!$D$45</definedName>
    <definedName name="_110h_F48">'Р~ д.4 к.2 стр.п.1-3 ЖСК Жасмин'!$D$46</definedName>
    <definedName name="_110h_F49">'Р~ д.4 к.2 стр.п.1-3 ЖСК Жасмин'!$D$47</definedName>
    <definedName name="_110h_F50">'Р~ д.4 к.2 стр.п.1-3 ЖСК Жасмин'!$D$48</definedName>
    <definedName name="_110h_F51">'Р~ д.4 к.2 стр.п.1-3 ЖСК Жасмин'!$D$49</definedName>
    <definedName name="_110h_F52">'Р~ д.4 к.2 стр.п.1-3 ЖСК Жасмин'!#REF!</definedName>
    <definedName name="_110h_F53">'Р~ д.4 к.2 стр.п.1-3 ЖСК Жасмин'!$D$50</definedName>
    <definedName name="_110h_F54">'Р~ д.4 к.2 стр.п.1-3 ЖСК Жасмин'!$D$51</definedName>
    <definedName name="_110h_F55">'Р~ д.4 к.2 стр.п.1-3 ЖСК Жасмин'!$D$52</definedName>
    <definedName name="_110h_F56">'Р~ д.4 к.2 стр.п.1-3 ЖСК Жасмин'!$D$53</definedName>
    <definedName name="_110h_F57">'Р~ д.4 к.2 стр.п.1-3 ЖСК Жасмин'!$D$54</definedName>
    <definedName name="_110h_F58">'Р~ д.4 к.2 стр.п.1-3 ЖСК Жасмин'!$D$55</definedName>
    <definedName name="_110h_F59">'Р~ д.4 к.2 стр.п.1-3 ЖСК Жасмин'!$D$56</definedName>
    <definedName name="_110h_F60">'Р~ д.4 к.2 стр.п.1-3 ЖСК Жасмин'!$D$57</definedName>
    <definedName name="_110h_F61">'Р~ д.4 к.2 стр.п.1-3 ЖСК Жасмин'!$D$58</definedName>
    <definedName name="_110h_F62">'Р~ д.4 к.2 стр.п.1-3 ЖСК Жасмин'!$D$59</definedName>
    <definedName name="_110h_F63">'Р~ д.4 к.2 стр.п.1-3 ЖСК Жасмин'!#REF!</definedName>
    <definedName name="_110h_F64">'Р~ д.4 к.2 стр.п.1-3 ЖСК Жасмин'!$D$60</definedName>
    <definedName name="_110h_F65">'Р~ д.4 к.2 стр.п.1-3 ЖСК Жасмин'!$D$61</definedName>
    <definedName name="_110h_F7">'Р~ д.4 к.2 стр.п.1-3 ЖСК Жасмин'!$D$5</definedName>
    <definedName name="_110h_F8">'Р~ д.4 к.2 стр.п.1-3 ЖСК Жасмин'!$D$6</definedName>
    <definedName name="_110h_F9">'Р~ д.4 к.2 стр.п.1-3 ЖСК Жасмин'!$D$7</definedName>
    <definedName name="_111h_E10">'Ро~ д.4 к.2 стр.п.4-5,11-14 '!$C$8</definedName>
    <definedName name="_111h_E11">'Ро~ д.4 к.2 стр.п.4-5,11-14 '!$C$9</definedName>
    <definedName name="_111h_E12">'Ро~ д.4 к.2 стр.п.4-5,11-14 '!$C$10</definedName>
    <definedName name="_111h_E13">'Ро~ д.4 к.2 стр.п.4-5,11-14 '!$C$11</definedName>
    <definedName name="_111h_E14">'Ро~ д.4 к.2 стр.п.4-5,11-14 '!$C$12</definedName>
    <definedName name="_111h_E15">'Ро~ д.4 к.2 стр.п.4-5,11-14 '!$C$13</definedName>
    <definedName name="_111h_E16">'Ро~ д.4 к.2 стр.п.4-5,11-14 '!$C$14</definedName>
    <definedName name="_111h_E17">'Ро~ д.4 к.2 стр.п.4-5,11-14 '!$C$15</definedName>
    <definedName name="_111h_E18">'Ро~ д.4 к.2 стр.п.4-5,11-14 '!$C$16</definedName>
    <definedName name="_111h_E19">'Ро~ д.4 к.2 стр.п.4-5,11-14 '!$C$17</definedName>
    <definedName name="_111h_E20">'Ро~ д.4 к.2 стр.п.4-5,11-14 '!$C$18</definedName>
    <definedName name="_111h_E21">'Ро~ д.4 к.2 стр.п.4-5,11-14 '!$C$19</definedName>
    <definedName name="_111h_E22">'Ро~ д.4 к.2 стр.п.4-5,11-14 '!$C$20</definedName>
    <definedName name="_111h_E23">'Ро~ д.4 к.2 стр.п.4-5,11-14 '!$C$21</definedName>
    <definedName name="_111h_E24">'Ро~ д.4 к.2 стр.п.4-5,11-14 '!$C$22</definedName>
    <definedName name="_111h_E25">'Ро~ д.4 к.2 стр.п.4-5,11-14 '!$C$23</definedName>
    <definedName name="_111h_E26">'Ро~ д.4 к.2 стр.п.4-5,11-14 '!$C$24</definedName>
    <definedName name="_111h_E27">'Ро~ д.4 к.2 стр.п.4-5,11-14 '!$C$25</definedName>
    <definedName name="_111h_E28">'Ро~ д.4 к.2 стр.п.4-5,11-14 '!$C$26</definedName>
    <definedName name="_111h_E29">'Ро~ д.4 к.2 стр.п.4-5,11-14 '!$C$27</definedName>
    <definedName name="_111h_E30">'Ро~ д.4 к.2 стр.п.4-5,11-14 '!$C$28</definedName>
    <definedName name="_111h_E31">'Ро~ д.4 к.2 стр.п.4-5,11-14 '!$C$29</definedName>
    <definedName name="_111h_E32">'Ро~ д.4 к.2 стр.п.4-5,11-14 '!$C$30</definedName>
    <definedName name="_111h_E33">'Ро~ д.4 к.2 стр.п.4-5,11-14 '!$C$31</definedName>
    <definedName name="_111h_E34">'Ро~ д.4 к.2 стр.п.4-5,11-14 '!$C$32</definedName>
    <definedName name="_111h_E35">'Ро~ д.4 к.2 стр.п.4-5,11-14 '!$C$33</definedName>
    <definedName name="_111h_E36">'Ро~ д.4 к.2 стр.п.4-5,11-14 '!$C$34</definedName>
    <definedName name="_111h_E37">'Ро~ д.4 к.2 стр.п.4-5,11-14 '!$C$35</definedName>
    <definedName name="_111h_E38">'Ро~ д.4 к.2 стр.п.4-5,11-14 '!$C$36</definedName>
    <definedName name="_111h_E39">'Ро~ д.4 к.2 стр.п.4-5,11-14 '!$C$37</definedName>
    <definedName name="_111h_E40">'Ро~ д.4 к.2 стр.п.4-5,11-14 '!$C$38</definedName>
    <definedName name="_111h_E41">'Ро~ д.4 к.2 стр.п.4-5,11-14 '!$C$39</definedName>
    <definedName name="_111h_E42">'Ро~ д.4 к.2 стр.п.4-5,11-14 '!$C$40</definedName>
    <definedName name="_111h_E43">'Ро~ д.4 к.2 стр.п.4-5,11-14 '!$C$41</definedName>
    <definedName name="_111h_E44">'Ро~ д.4 к.2 стр.п.4-5,11-14 '!$C$42</definedName>
    <definedName name="_111h_E45">'Ро~ д.4 к.2 стр.п.4-5,11-14 '!$C$43</definedName>
    <definedName name="_111h_E46">'Ро~ д.4 к.2 стр.п.4-5,11-14 '!$C$44</definedName>
    <definedName name="_111h_E47">'Ро~ д.4 к.2 стр.п.4-5,11-14 '!$C$45</definedName>
    <definedName name="_111h_E48">'Ро~ д.4 к.2 стр.п.4-5,11-14 '!$C$46</definedName>
    <definedName name="_111h_E49">'Ро~ д.4 к.2 стр.п.4-5,11-14 '!$C$47</definedName>
    <definedName name="_111h_E50">'Ро~ д.4 к.2 стр.п.4-5,11-14 '!$C$48</definedName>
    <definedName name="_111h_E51">'Ро~ д.4 к.2 стр.п.4-5,11-14 '!$C$49</definedName>
    <definedName name="_111h_E52">'Ро~ д.4 к.2 стр.п.4-5,11-14 '!#REF!</definedName>
    <definedName name="_111h_E53">'Ро~ д.4 к.2 стр.п.4-5,11-14 '!$C$50</definedName>
    <definedName name="_111h_E54">'Ро~ д.4 к.2 стр.п.4-5,11-14 '!$C$51</definedName>
    <definedName name="_111h_E55">'Ро~ д.4 к.2 стр.п.4-5,11-14 '!$C$52</definedName>
    <definedName name="_111h_E56">'Ро~ д.4 к.2 стр.п.4-5,11-14 '!$C$53</definedName>
    <definedName name="_111h_E57">'Ро~ д.4 к.2 стр.п.4-5,11-14 '!$C$54</definedName>
    <definedName name="_111h_E58">'Ро~ д.4 к.2 стр.п.4-5,11-14 '!$C$55</definedName>
    <definedName name="_111h_E59">'Ро~ д.4 к.2 стр.п.4-5,11-14 '!$C$56</definedName>
    <definedName name="_111h_E60">'Ро~ д.4 к.2 стр.п.4-5,11-14 '!$C$57</definedName>
    <definedName name="_111h_E61">'Ро~ д.4 к.2 стр.п.4-5,11-14 '!$C$58</definedName>
    <definedName name="_111h_E62">'Ро~ д.4 к.2 стр.п.4-5,11-14 '!$C$59</definedName>
    <definedName name="_111h_E63">'Ро~ д.4 к.2 стр.п.4-5,11-14 '!#REF!</definedName>
    <definedName name="_111h_E64">'Ро~ д.4 к.2 стр.п.4-5,11-14 '!$C$60</definedName>
    <definedName name="_111h_E65">'Ро~ д.4 к.2 стр.п.4-5,11-14 '!$C$61</definedName>
    <definedName name="_111h_E7">'Ро~ д.4 к.2 стр.п.4-5,11-14 '!$C$5</definedName>
    <definedName name="_111h_E8">'Ро~ д.4 к.2 стр.п.4-5,11-14 '!$C$6</definedName>
    <definedName name="_111h_E9">'Ро~ д.4 к.2 стр.п.4-5,11-14 '!$C$7</definedName>
    <definedName name="_111h_F10">'Ро~ д.4 к.2 стр.п.4-5,11-14 '!$D$8</definedName>
    <definedName name="_111h_F11">'Ро~ д.4 к.2 стр.п.4-5,11-14 '!$D$9</definedName>
    <definedName name="_111h_F12">'Ро~ д.4 к.2 стр.п.4-5,11-14 '!$D$10</definedName>
    <definedName name="_111h_F13">'Ро~ д.4 к.2 стр.п.4-5,11-14 '!$D$11</definedName>
    <definedName name="_111h_F14">'Ро~ д.4 к.2 стр.п.4-5,11-14 '!$D$12</definedName>
    <definedName name="_111h_F15">'Ро~ д.4 к.2 стр.п.4-5,11-14 '!$D$13</definedName>
    <definedName name="_111h_F16">'Ро~ д.4 к.2 стр.п.4-5,11-14 '!$D$14</definedName>
    <definedName name="_111h_F17">'Ро~ д.4 к.2 стр.п.4-5,11-14 '!$D$15</definedName>
    <definedName name="_111h_F18">'Ро~ д.4 к.2 стр.п.4-5,11-14 '!$D$16</definedName>
    <definedName name="_111h_F19">'Ро~ д.4 к.2 стр.п.4-5,11-14 '!$D$17</definedName>
    <definedName name="_111h_F20">'Ро~ д.4 к.2 стр.п.4-5,11-14 '!$D$18</definedName>
    <definedName name="_111h_F21">'Ро~ д.4 к.2 стр.п.4-5,11-14 '!$D$19</definedName>
    <definedName name="_111h_F22">'Ро~ д.4 к.2 стр.п.4-5,11-14 '!$D$20</definedName>
    <definedName name="_111h_F23">'Ро~ д.4 к.2 стр.п.4-5,11-14 '!$D$21</definedName>
    <definedName name="_111h_F24">'Ро~ д.4 к.2 стр.п.4-5,11-14 '!$D$22</definedName>
    <definedName name="_111h_F25">'Ро~ д.4 к.2 стр.п.4-5,11-14 '!$D$23</definedName>
    <definedName name="_111h_F26">'Ро~ д.4 к.2 стр.п.4-5,11-14 '!$D$24</definedName>
    <definedName name="_111h_F27">'Ро~ д.4 к.2 стр.п.4-5,11-14 '!$D$25</definedName>
    <definedName name="_111h_F28">'Ро~ д.4 к.2 стр.п.4-5,11-14 '!$D$26</definedName>
    <definedName name="_111h_F29">'Ро~ д.4 к.2 стр.п.4-5,11-14 '!$D$27</definedName>
    <definedName name="_111h_F30">'Ро~ д.4 к.2 стр.п.4-5,11-14 '!$D$28</definedName>
    <definedName name="_111h_F31">'Ро~ д.4 к.2 стр.п.4-5,11-14 '!$D$29</definedName>
    <definedName name="_111h_F32">'Ро~ д.4 к.2 стр.п.4-5,11-14 '!$D$30</definedName>
    <definedName name="_111h_F33">'Ро~ д.4 к.2 стр.п.4-5,11-14 '!$D$31</definedName>
    <definedName name="_111h_F34">'Ро~ д.4 к.2 стр.п.4-5,11-14 '!$D$32</definedName>
    <definedName name="_111h_F35">'Ро~ д.4 к.2 стр.п.4-5,11-14 '!$D$33</definedName>
    <definedName name="_111h_F36">'Ро~ д.4 к.2 стр.п.4-5,11-14 '!$D$34</definedName>
    <definedName name="_111h_F37">'Ро~ д.4 к.2 стр.п.4-5,11-14 '!$D$35</definedName>
    <definedName name="_111h_F38">'Ро~ д.4 к.2 стр.п.4-5,11-14 '!$D$36</definedName>
    <definedName name="_111h_F39">'Ро~ д.4 к.2 стр.п.4-5,11-14 '!$D$37</definedName>
    <definedName name="_111h_F40">'Ро~ д.4 к.2 стр.п.4-5,11-14 '!$D$38</definedName>
    <definedName name="_111h_F41">'Ро~ д.4 к.2 стр.п.4-5,11-14 '!$D$39</definedName>
    <definedName name="_111h_F42">'Ро~ д.4 к.2 стр.п.4-5,11-14 '!$D$40</definedName>
    <definedName name="_111h_F43">'Ро~ д.4 к.2 стр.п.4-5,11-14 '!$D$41</definedName>
    <definedName name="_111h_F44">'Ро~ д.4 к.2 стр.п.4-5,11-14 '!$D$42</definedName>
    <definedName name="_111h_F45">'Ро~ д.4 к.2 стр.п.4-5,11-14 '!$D$43</definedName>
    <definedName name="_111h_F46">'Ро~ д.4 к.2 стр.п.4-5,11-14 '!$D$44</definedName>
    <definedName name="_111h_F47">'Ро~ д.4 к.2 стр.п.4-5,11-14 '!$D$45</definedName>
    <definedName name="_111h_F48">'Ро~ д.4 к.2 стр.п.4-5,11-14 '!$D$46</definedName>
    <definedName name="_111h_F49">'Ро~ д.4 к.2 стр.п.4-5,11-14 '!$D$47</definedName>
    <definedName name="_111h_F50">'Ро~ д.4 к.2 стр.п.4-5,11-14 '!$D$48</definedName>
    <definedName name="_111h_F51">'Ро~ д.4 к.2 стр.п.4-5,11-14 '!$D$49</definedName>
    <definedName name="_111h_F52">'Ро~ д.4 к.2 стр.п.4-5,11-14 '!#REF!</definedName>
    <definedName name="_111h_F53">'Ро~ д.4 к.2 стр.п.4-5,11-14 '!$D$50</definedName>
    <definedName name="_111h_F54">'Ро~ д.4 к.2 стр.п.4-5,11-14 '!$D$51</definedName>
    <definedName name="_111h_F55">'Ро~ д.4 к.2 стр.п.4-5,11-14 '!$D$52</definedName>
    <definedName name="_111h_F56">'Ро~ д.4 к.2 стр.п.4-5,11-14 '!$D$53</definedName>
    <definedName name="_111h_F57">'Ро~ д.4 к.2 стр.п.4-5,11-14 '!$D$54</definedName>
    <definedName name="_111h_F58">'Ро~ д.4 к.2 стр.п.4-5,11-14 '!$D$55</definedName>
    <definedName name="_111h_F59">'Ро~ д.4 к.2 стр.п.4-5,11-14 '!$D$56</definedName>
    <definedName name="_111h_F60">'Ро~ д.4 к.2 стр.п.4-5,11-14 '!$D$57</definedName>
    <definedName name="_111h_F61">'Ро~ д.4 к.2 стр.п.4-5,11-14 '!$D$58</definedName>
    <definedName name="_111h_F62">'Ро~ д.4 к.2 стр.п.4-5,11-14 '!$D$59</definedName>
    <definedName name="_111h_F63">'Ро~ д.4 к.2 стр.п.4-5,11-14 '!#REF!</definedName>
    <definedName name="_111h_F64">'Ро~ д.4 к.2 стр.п.4-5,11-14 '!$D$60</definedName>
    <definedName name="_111h_F65">'Ро~ д.4 к.2 стр.п.4-5,11-14 '!$D$61</definedName>
    <definedName name="_111h_F7">'Ро~ д.4 к.2 стр.п.4-5,11-14 '!$D$5</definedName>
    <definedName name="_111h_F8">'Ро~ д.4 к.2 стр.п.4-5,11-14 '!$D$6</definedName>
    <definedName name="_111h_F9">'Ро~ д.4 к.2 стр.п.4-5,11-14 '!$D$7</definedName>
    <definedName name="_112h_E10">' д.4 к.2 стр.п.6-10 ЖСК Колизей'!$C$8</definedName>
    <definedName name="_112h_E11">' д.4 к.2 стр.п.6-10 ЖСК Колизей'!$C$9</definedName>
    <definedName name="_112h_E12">' д.4 к.2 стр.п.6-10 ЖСК Колизей'!$C$10</definedName>
    <definedName name="_112h_E13">' д.4 к.2 стр.п.6-10 ЖСК Колизей'!$C$11</definedName>
    <definedName name="_112h_E14">' д.4 к.2 стр.п.6-10 ЖСК Колизей'!$C$12</definedName>
    <definedName name="_112h_E15">' д.4 к.2 стр.п.6-10 ЖСК Колизей'!$C$13</definedName>
    <definedName name="_112h_E16">' д.4 к.2 стр.п.6-10 ЖСК Колизей'!$C$14</definedName>
    <definedName name="_112h_E17">' д.4 к.2 стр.п.6-10 ЖСК Колизей'!$C$15</definedName>
    <definedName name="_112h_E18">' д.4 к.2 стр.п.6-10 ЖСК Колизей'!$C$16</definedName>
    <definedName name="_112h_E19">' д.4 к.2 стр.п.6-10 ЖСК Колизей'!$C$17</definedName>
    <definedName name="_112h_E20">' д.4 к.2 стр.п.6-10 ЖСК Колизей'!$C$18</definedName>
    <definedName name="_112h_E21">' д.4 к.2 стр.п.6-10 ЖСК Колизей'!$C$19</definedName>
    <definedName name="_112h_E22">' д.4 к.2 стр.п.6-10 ЖСК Колизей'!$C$20</definedName>
    <definedName name="_112h_E23">' д.4 к.2 стр.п.6-10 ЖСК Колизей'!$C$21</definedName>
    <definedName name="_112h_E24">' д.4 к.2 стр.п.6-10 ЖСК Колизей'!$C$22</definedName>
    <definedName name="_112h_E25">' д.4 к.2 стр.п.6-10 ЖСК Колизей'!$C$23</definedName>
    <definedName name="_112h_E26">' д.4 к.2 стр.п.6-10 ЖСК Колизей'!$C$24</definedName>
    <definedName name="_112h_E27">' д.4 к.2 стр.п.6-10 ЖСК Колизей'!$C$25</definedName>
    <definedName name="_112h_E28">' д.4 к.2 стр.п.6-10 ЖСК Колизей'!$C$26</definedName>
    <definedName name="_112h_E29">' д.4 к.2 стр.п.6-10 ЖСК Колизей'!$C$27</definedName>
    <definedName name="_112h_E30">' д.4 к.2 стр.п.6-10 ЖСК Колизей'!$C$28</definedName>
    <definedName name="_112h_E31">' д.4 к.2 стр.п.6-10 ЖСК Колизей'!$C$29</definedName>
    <definedName name="_112h_E32">' д.4 к.2 стр.п.6-10 ЖСК Колизей'!$C$30</definedName>
    <definedName name="_112h_E33">' д.4 к.2 стр.п.6-10 ЖСК Колизей'!$C$31</definedName>
    <definedName name="_112h_E34">' д.4 к.2 стр.п.6-10 ЖСК Колизей'!$C$32</definedName>
    <definedName name="_112h_E35">' д.4 к.2 стр.п.6-10 ЖСК Колизей'!$C$33</definedName>
    <definedName name="_112h_E36">' д.4 к.2 стр.п.6-10 ЖСК Колизей'!$C$34</definedName>
    <definedName name="_112h_E37">' д.4 к.2 стр.п.6-10 ЖСК Колизей'!$C$35</definedName>
    <definedName name="_112h_E38">' д.4 к.2 стр.п.6-10 ЖСК Колизей'!$C$36</definedName>
    <definedName name="_112h_E39">' д.4 к.2 стр.п.6-10 ЖСК Колизей'!$C$37</definedName>
    <definedName name="_112h_E40">' д.4 к.2 стр.п.6-10 ЖСК Колизей'!$C$38</definedName>
    <definedName name="_112h_E41">' д.4 к.2 стр.п.6-10 ЖСК Колизей'!$C$39</definedName>
    <definedName name="_112h_E42">' д.4 к.2 стр.п.6-10 ЖСК Колизей'!$C$40</definedName>
    <definedName name="_112h_E43">' д.4 к.2 стр.п.6-10 ЖСК Колизей'!$C$41</definedName>
    <definedName name="_112h_E44">' д.4 к.2 стр.п.6-10 ЖСК Колизей'!$C$42</definedName>
    <definedName name="_112h_E45">' д.4 к.2 стр.п.6-10 ЖСК Колизей'!$C$43</definedName>
    <definedName name="_112h_E46">' д.4 к.2 стр.п.6-10 ЖСК Колизей'!$C$44</definedName>
    <definedName name="_112h_E47">' д.4 к.2 стр.п.6-10 ЖСК Колизей'!$C$45</definedName>
    <definedName name="_112h_E48">' д.4 к.2 стр.п.6-10 ЖСК Колизей'!$C$46</definedName>
    <definedName name="_112h_E49">' д.4 к.2 стр.п.6-10 ЖСК Колизей'!$C$47</definedName>
    <definedName name="_112h_E50">' д.4 к.2 стр.п.6-10 ЖСК Колизей'!$C$48</definedName>
    <definedName name="_112h_E51">' д.4 к.2 стр.п.6-10 ЖСК Колизей'!$C$49</definedName>
    <definedName name="_112h_E52">' д.4 к.2 стр.п.6-10 ЖСК Колизей'!#REF!</definedName>
    <definedName name="_112h_E53">' д.4 к.2 стр.п.6-10 ЖСК Колизей'!$C$50</definedName>
    <definedName name="_112h_E54">' д.4 к.2 стр.п.6-10 ЖСК Колизей'!$C$51</definedName>
    <definedName name="_112h_E55">' д.4 к.2 стр.п.6-10 ЖСК Колизей'!$C$52</definedName>
    <definedName name="_112h_E56">' д.4 к.2 стр.п.6-10 ЖСК Колизей'!$C$53</definedName>
    <definedName name="_112h_E57">' д.4 к.2 стр.п.6-10 ЖСК Колизей'!$C$54</definedName>
    <definedName name="_112h_E58">' д.4 к.2 стр.п.6-10 ЖСК Колизей'!$C$55</definedName>
    <definedName name="_112h_E59">' д.4 к.2 стр.п.6-10 ЖСК Колизей'!$C$56</definedName>
    <definedName name="_112h_E60">' д.4 к.2 стр.п.6-10 ЖСК Колизей'!$C$57</definedName>
    <definedName name="_112h_E61">' д.4 к.2 стр.п.6-10 ЖСК Колизей'!$C$58</definedName>
    <definedName name="_112h_E62">' д.4 к.2 стр.п.6-10 ЖСК Колизей'!$C$59</definedName>
    <definedName name="_112h_E63">' д.4 к.2 стр.п.6-10 ЖСК Колизей'!#REF!</definedName>
    <definedName name="_112h_E64">' д.4 к.2 стр.п.6-10 ЖСК Колизей'!$C$60</definedName>
    <definedName name="_112h_E65">' д.4 к.2 стр.п.6-10 ЖСК Колизей'!$C$61</definedName>
    <definedName name="_112h_E7">' д.4 к.2 стр.п.6-10 ЖСК Колизей'!$C$5</definedName>
    <definedName name="_112h_E8">' д.4 к.2 стр.п.6-10 ЖСК Колизей'!$C$6</definedName>
    <definedName name="_112h_E9">' д.4 к.2 стр.п.6-10 ЖСК Колизей'!$C$7</definedName>
    <definedName name="_112h_F10">' д.4 к.2 стр.п.6-10 ЖСК Колизей'!$D$8</definedName>
    <definedName name="_112h_F11">' д.4 к.2 стр.п.6-10 ЖСК Колизей'!$D$9</definedName>
    <definedName name="_112h_F12">' д.4 к.2 стр.п.6-10 ЖСК Колизей'!$D$10</definedName>
    <definedName name="_112h_F13">' д.4 к.2 стр.п.6-10 ЖСК Колизей'!$D$11</definedName>
    <definedName name="_112h_F14">' д.4 к.2 стр.п.6-10 ЖСК Колизей'!$D$12</definedName>
    <definedName name="_112h_F15">' д.4 к.2 стр.п.6-10 ЖСК Колизей'!$D$13</definedName>
    <definedName name="_112h_F16">' д.4 к.2 стр.п.6-10 ЖСК Колизей'!$D$14</definedName>
    <definedName name="_112h_F17">' д.4 к.2 стр.п.6-10 ЖСК Колизей'!$D$15</definedName>
    <definedName name="_112h_F18">' д.4 к.2 стр.п.6-10 ЖСК Колизей'!$D$16</definedName>
    <definedName name="_112h_F19">' д.4 к.2 стр.п.6-10 ЖСК Колизей'!$D$17</definedName>
    <definedName name="_112h_F20">' д.4 к.2 стр.п.6-10 ЖСК Колизей'!$D$18</definedName>
    <definedName name="_112h_F21">' д.4 к.2 стр.п.6-10 ЖСК Колизей'!$D$19</definedName>
    <definedName name="_112h_F22">' д.4 к.2 стр.п.6-10 ЖСК Колизей'!$D$20</definedName>
    <definedName name="_112h_F23">' д.4 к.2 стр.п.6-10 ЖСК Колизей'!$D$21</definedName>
    <definedName name="_112h_F24">' д.4 к.2 стр.п.6-10 ЖСК Колизей'!$D$22</definedName>
    <definedName name="_112h_F25">' д.4 к.2 стр.п.6-10 ЖСК Колизей'!$D$23</definedName>
    <definedName name="_112h_F26">' д.4 к.2 стр.п.6-10 ЖСК Колизей'!$D$24</definedName>
    <definedName name="_112h_F27">' д.4 к.2 стр.п.6-10 ЖСК Колизей'!$D$25</definedName>
    <definedName name="_112h_F28">' д.4 к.2 стр.п.6-10 ЖСК Колизей'!$D$26</definedName>
    <definedName name="_112h_F29">' д.4 к.2 стр.п.6-10 ЖСК Колизей'!$D$27</definedName>
    <definedName name="_112h_F30">' д.4 к.2 стр.п.6-10 ЖСК Колизей'!$D$28</definedName>
    <definedName name="_112h_F31">' д.4 к.2 стр.п.6-10 ЖСК Колизей'!$D$29</definedName>
    <definedName name="_112h_F32">' д.4 к.2 стр.п.6-10 ЖСК Колизей'!$D$30</definedName>
    <definedName name="_112h_F33">' д.4 к.2 стр.п.6-10 ЖСК Колизей'!$D$31</definedName>
    <definedName name="_112h_F34">' д.4 к.2 стр.п.6-10 ЖСК Колизей'!$D$32</definedName>
    <definedName name="_112h_F35">' д.4 к.2 стр.п.6-10 ЖСК Колизей'!$D$33</definedName>
    <definedName name="_112h_F36">' д.4 к.2 стр.п.6-10 ЖСК Колизей'!$D$34</definedName>
    <definedName name="_112h_F37">' д.4 к.2 стр.п.6-10 ЖСК Колизей'!$D$35</definedName>
    <definedName name="_112h_F38">' д.4 к.2 стр.п.6-10 ЖСК Колизей'!$D$36</definedName>
    <definedName name="_112h_F39">' д.4 к.2 стр.п.6-10 ЖСК Колизей'!$D$37</definedName>
    <definedName name="_112h_F40">' д.4 к.2 стр.п.6-10 ЖСК Колизей'!$D$38</definedName>
    <definedName name="_112h_F41">' д.4 к.2 стр.п.6-10 ЖСК Колизей'!$D$39</definedName>
    <definedName name="_112h_F42">' д.4 к.2 стр.п.6-10 ЖСК Колизей'!$D$40</definedName>
    <definedName name="_112h_F43">' д.4 к.2 стр.п.6-10 ЖСК Колизей'!$D$41</definedName>
    <definedName name="_112h_F44">' д.4 к.2 стр.п.6-10 ЖСК Колизей'!$D$42</definedName>
    <definedName name="_112h_F45">' д.4 к.2 стр.п.6-10 ЖСК Колизей'!$D$43</definedName>
    <definedName name="_112h_F46">' д.4 к.2 стр.п.6-10 ЖСК Колизей'!$D$44</definedName>
    <definedName name="_112h_F47">' д.4 к.2 стр.п.6-10 ЖСК Колизей'!$D$45</definedName>
    <definedName name="_112h_F48">' д.4 к.2 стр.п.6-10 ЖСК Колизей'!$D$46</definedName>
    <definedName name="_112h_F49">' д.4 к.2 стр.п.6-10 ЖСК Колизей'!$D$47</definedName>
    <definedName name="_112h_F50">' д.4 к.2 стр.п.6-10 ЖСК Колизей'!$D$48</definedName>
    <definedName name="_112h_F51">' д.4 к.2 стр.п.6-10 ЖСК Колизей'!$D$49</definedName>
    <definedName name="_112h_F52">' д.4 к.2 стр.п.6-10 ЖСК Колизей'!#REF!</definedName>
    <definedName name="_112h_F53">' д.4 к.2 стр.п.6-10 ЖСК Колизей'!$D$50</definedName>
    <definedName name="_112h_F54">' д.4 к.2 стр.п.6-10 ЖСК Колизей'!$D$51</definedName>
    <definedName name="_112h_F55">' д.4 к.2 стр.п.6-10 ЖСК Колизей'!$D$52</definedName>
    <definedName name="_112h_F56">' д.4 к.2 стр.п.6-10 ЖСК Колизей'!$D$53</definedName>
    <definedName name="_112h_F57">' д.4 к.2 стр.п.6-10 ЖСК Колизей'!$D$54</definedName>
    <definedName name="_112h_F58">' д.4 к.2 стр.п.6-10 ЖСК Колизей'!$D$55</definedName>
    <definedName name="_112h_F59">' д.4 к.2 стр.п.6-10 ЖСК Колизей'!$D$56</definedName>
    <definedName name="_112h_F60">' д.4 к.2 стр.п.6-10 ЖСК Колизей'!$D$57</definedName>
    <definedName name="_112h_F61">' д.4 к.2 стр.п.6-10 ЖСК Колизей'!$D$58</definedName>
    <definedName name="_112h_F62">' д.4 к.2 стр.п.6-10 ЖСК Колизей'!$D$59</definedName>
    <definedName name="_112h_F63">' д.4 к.2 стр.п.6-10 ЖСК Колизей'!#REF!</definedName>
    <definedName name="_112h_F64">' д.4 к.2 стр.п.6-10 ЖСК Колизей'!$D$60</definedName>
    <definedName name="_112h_F65">' д.4 к.2 стр.п.6-10 ЖСК Колизей'!$D$61</definedName>
    <definedName name="_112h_F7">' д.4 к.2 стр.п.6-10 ЖСК Колизей'!$D$5</definedName>
    <definedName name="_112h_F8">' д.4 к.2 стр.п.6-10 ЖСК Колизей'!$D$6</definedName>
    <definedName name="_112h_F9">' д.4 к.2 стр.п.6-10 ЖСК Колизей'!$D$7</definedName>
    <definedName name="_113h_E10">'Рокотова д.7 к.2'!$C$8</definedName>
    <definedName name="_113h_E11">'Рокотова д.7 к.2'!$C$9</definedName>
    <definedName name="_113h_E12">'Рокотова д.7 к.2'!$C$10</definedName>
    <definedName name="_113h_E13">'Рокотова д.7 к.2'!$C$11</definedName>
    <definedName name="_113h_E14">'Рокотова д.7 к.2'!$C$12</definedName>
    <definedName name="_113h_E15">'Рокотова д.7 к.2'!$C$13</definedName>
    <definedName name="_113h_E16">'Рокотова д.7 к.2'!$C$14</definedName>
    <definedName name="_113h_E17">'Рокотова д.7 к.2'!$C$15</definedName>
    <definedName name="_113h_E18">'Рокотова д.7 к.2'!$C$16</definedName>
    <definedName name="_113h_E19">'Рокотова д.7 к.2'!$C$17</definedName>
    <definedName name="_113h_E20">'Рокотова д.7 к.2'!$C$18</definedName>
    <definedName name="_113h_E21">'Рокотова д.7 к.2'!$C$19</definedName>
    <definedName name="_113h_E22">'Рокотова д.7 к.2'!$C$20</definedName>
    <definedName name="_113h_E23">'Рокотова д.7 к.2'!$C$21</definedName>
    <definedName name="_113h_E24">'Рокотова д.7 к.2'!$C$22</definedName>
    <definedName name="_113h_E25">'Рокотова д.7 к.2'!$C$23</definedName>
    <definedName name="_113h_E26">'Рокотова д.7 к.2'!$C$24</definedName>
    <definedName name="_113h_E27">'Рокотова д.7 к.2'!$C$25</definedName>
    <definedName name="_113h_E28">'Рокотова д.7 к.2'!$C$26</definedName>
    <definedName name="_113h_E29">'Рокотова д.7 к.2'!$C$27</definedName>
    <definedName name="_113h_E30">'Рокотова д.7 к.2'!$C$28</definedName>
    <definedName name="_113h_E31">'Рокотова д.7 к.2'!$C$29</definedName>
    <definedName name="_113h_E32">'Рокотова д.7 к.2'!$C$30</definedName>
    <definedName name="_113h_E33">'Рокотова д.7 к.2'!$C$31</definedName>
    <definedName name="_113h_E34">'Рокотова д.7 к.2'!$C$32</definedName>
    <definedName name="_113h_E35">'Рокотова д.7 к.2'!$C$33</definedName>
    <definedName name="_113h_E36">'Рокотова д.7 к.2'!$C$34</definedName>
    <definedName name="_113h_E37">'Рокотова д.7 к.2'!$C$35</definedName>
    <definedName name="_113h_E38">'Рокотова д.7 к.2'!$C$36</definedName>
    <definedName name="_113h_E39">'Рокотова д.7 к.2'!$C$37</definedName>
    <definedName name="_113h_E40">'Рокотова д.7 к.2'!$C$38</definedName>
    <definedName name="_113h_E41">'Рокотова д.7 к.2'!$C$39</definedName>
    <definedName name="_113h_E42">'Рокотова д.7 к.2'!$C$40</definedName>
    <definedName name="_113h_E43">'Рокотова д.7 к.2'!$C$41</definedName>
    <definedName name="_113h_E44">'Рокотова д.7 к.2'!$C$42</definedName>
    <definedName name="_113h_E45">'Рокотова д.7 к.2'!$C$43</definedName>
    <definedName name="_113h_E46">'Рокотова д.7 к.2'!$C$44</definedName>
    <definedName name="_113h_E47">'Рокотова д.7 к.2'!$C$45</definedName>
    <definedName name="_113h_E48">'Рокотова д.7 к.2'!$C$46</definedName>
    <definedName name="_113h_E49">'Рокотова д.7 к.2'!$C$47</definedName>
    <definedName name="_113h_E50">'Рокотова д.7 к.2'!$C$48</definedName>
    <definedName name="_113h_E51">'Рокотова д.7 к.2'!$C$49</definedName>
    <definedName name="_113h_E52">'Рокотова д.7 к.2'!#REF!</definedName>
    <definedName name="_113h_E53">'Рокотова д.7 к.2'!$C$50</definedName>
    <definedName name="_113h_E54">'Рокотова д.7 к.2'!$C$51</definedName>
    <definedName name="_113h_E55">'Рокотова д.7 к.2'!$C$52</definedName>
    <definedName name="_113h_E56">'Рокотова д.7 к.2'!$C$53</definedName>
    <definedName name="_113h_E57">'Рокотова д.7 к.2'!$C$54</definedName>
    <definedName name="_113h_E58">'Рокотова д.7 к.2'!$C$55</definedName>
    <definedName name="_113h_E59">'Рокотова д.7 к.2'!$C$56</definedName>
    <definedName name="_113h_E60">'Рокотова д.7 к.2'!$C$57</definedName>
    <definedName name="_113h_E61">'Рокотова д.7 к.2'!$C$58</definedName>
    <definedName name="_113h_E62">'Рокотова д.7 к.2'!$C$59</definedName>
    <definedName name="_113h_E63">'Рокотова д.7 к.2'!#REF!</definedName>
    <definedName name="_113h_E64">'Рокотова д.7 к.2'!$C$60</definedName>
    <definedName name="_113h_E65">'Рокотова д.7 к.2'!$C$61</definedName>
    <definedName name="_113h_E7">'Рокотова д.7 к.2'!$C$5</definedName>
    <definedName name="_113h_E8">'Рокотова д.7 к.2'!$C$6</definedName>
    <definedName name="_113h_E9">'Рокотова д.7 к.2'!$C$7</definedName>
    <definedName name="_113h_F10">'Рокотова д.7 к.2'!$D$8</definedName>
    <definedName name="_113h_F11">'Рокотова д.7 к.2'!$D$9</definedName>
    <definedName name="_113h_F12">'Рокотова д.7 к.2'!$D$10</definedName>
    <definedName name="_113h_F13">'Рокотова д.7 к.2'!$D$11</definedName>
    <definedName name="_113h_F14">'Рокотова д.7 к.2'!$D$12</definedName>
    <definedName name="_113h_F15">'Рокотова д.7 к.2'!$D$13</definedName>
    <definedName name="_113h_F16">'Рокотова д.7 к.2'!$D$14</definedName>
    <definedName name="_113h_F17">'Рокотова д.7 к.2'!$D$15</definedName>
    <definedName name="_113h_F18">'Рокотова д.7 к.2'!$D$16</definedName>
    <definedName name="_113h_F19">'Рокотова д.7 к.2'!$D$17</definedName>
    <definedName name="_113h_F20">'Рокотова д.7 к.2'!$D$18</definedName>
    <definedName name="_113h_F21">'Рокотова д.7 к.2'!$D$19</definedName>
    <definedName name="_113h_F22">'Рокотова д.7 к.2'!$D$20</definedName>
    <definedName name="_113h_F23">'Рокотова д.7 к.2'!$D$21</definedName>
    <definedName name="_113h_F24">'Рокотова д.7 к.2'!$D$22</definedName>
    <definedName name="_113h_F25">'Рокотова д.7 к.2'!$D$23</definedName>
    <definedName name="_113h_F26">'Рокотова д.7 к.2'!$D$24</definedName>
    <definedName name="_113h_F27">'Рокотова д.7 к.2'!$D$25</definedName>
    <definedName name="_113h_F28">'Рокотова д.7 к.2'!$D$26</definedName>
    <definedName name="_113h_F29">'Рокотова д.7 к.2'!$D$27</definedName>
    <definedName name="_113h_F30">'Рокотова д.7 к.2'!$D$28</definedName>
    <definedName name="_113h_F31">'Рокотова д.7 к.2'!$D$29</definedName>
    <definedName name="_113h_F32">'Рокотова д.7 к.2'!$D$30</definedName>
    <definedName name="_113h_F33">'Рокотова д.7 к.2'!$D$31</definedName>
    <definedName name="_113h_F34">'Рокотова д.7 к.2'!$D$32</definedName>
    <definedName name="_113h_F35">'Рокотова д.7 к.2'!$D$33</definedName>
    <definedName name="_113h_F36">'Рокотова д.7 к.2'!$D$34</definedName>
    <definedName name="_113h_F37">'Рокотова д.7 к.2'!$D$35</definedName>
    <definedName name="_113h_F38">'Рокотова д.7 к.2'!$D$36</definedName>
    <definedName name="_113h_F39">'Рокотова д.7 к.2'!$D$37</definedName>
    <definedName name="_113h_F40">'Рокотова д.7 к.2'!$D$38</definedName>
    <definedName name="_113h_F41">'Рокотова д.7 к.2'!$D$39</definedName>
    <definedName name="_113h_F42">'Рокотова д.7 к.2'!$D$40</definedName>
    <definedName name="_113h_F43">'Рокотова д.7 к.2'!$D$41</definedName>
    <definedName name="_113h_F44">'Рокотова д.7 к.2'!$D$42</definedName>
    <definedName name="_113h_F45">'Рокотова д.7 к.2'!$D$43</definedName>
    <definedName name="_113h_F46">'Рокотова д.7 к.2'!$D$44</definedName>
    <definedName name="_113h_F47">'Рокотова д.7 к.2'!$D$45</definedName>
    <definedName name="_113h_F48">'Рокотова д.7 к.2'!$D$46</definedName>
    <definedName name="_113h_F49">'Рокотова д.7 к.2'!$D$47</definedName>
    <definedName name="_113h_F50">'Рокотова д.7 к.2'!$D$48</definedName>
    <definedName name="_113h_F51">'Рокотова д.7 к.2'!$D$49</definedName>
    <definedName name="_113h_F52">'Рокотова д.7 к.2'!#REF!</definedName>
    <definedName name="_113h_F53">'Рокотова д.7 к.2'!$D$50</definedName>
    <definedName name="_113h_F54">'Рокотова д.7 к.2'!$D$51</definedName>
    <definedName name="_113h_F55">'Рокотова д.7 к.2'!$D$52</definedName>
    <definedName name="_113h_F56">'Рокотова д.7 к.2'!$D$53</definedName>
    <definedName name="_113h_F57">'Рокотова д.7 к.2'!$D$54</definedName>
    <definedName name="_113h_F58">'Рокотова д.7 к.2'!$D$55</definedName>
    <definedName name="_113h_F59">'Рокотова д.7 к.2'!$D$56</definedName>
    <definedName name="_113h_F60">'Рокотова д.7 к.2'!$D$57</definedName>
    <definedName name="_113h_F61">'Рокотова д.7 к.2'!$D$58</definedName>
    <definedName name="_113h_F62">'Рокотова д.7 к.2'!$D$59</definedName>
    <definedName name="_113h_F63">'Рокотова д.7 к.2'!#REF!</definedName>
    <definedName name="_113h_F64">'Рокотова д.7 к.2'!$D$60</definedName>
    <definedName name="_113h_F65">'Рокотова д.7 к.2'!$D$61</definedName>
    <definedName name="_113h_F7">'Рокотова д.7 к.2'!$D$5</definedName>
    <definedName name="_113h_F8">'Рокотова д.7 к.2'!$D$6</definedName>
    <definedName name="_113h_F9">'Рокотова д.7 к.2'!$D$7</definedName>
    <definedName name="_114h_E10">'Ро~ д.8 к.2 стр.п.1-4,11-14 '!$C$8</definedName>
    <definedName name="_114h_E11">'Ро~ д.8 к.2 стр.п.1-4,11-14 '!$C$9</definedName>
    <definedName name="_114h_E12">'Ро~ д.8 к.2 стр.п.1-4,11-14 '!$C$10</definedName>
    <definedName name="_114h_E13">'Ро~ д.8 к.2 стр.п.1-4,11-14 '!$C$11</definedName>
    <definedName name="_114h_E14">'Ро~ д.8 к.2 стр.п.1-4,11-14 '!$C$12</definedName>
    <definedName name="_114h_E15">'Ро~ д.8 к.2 стр.п.1-4,11-14 '!$C$13</definedName>
    <definedName name="_114h_E16">'Ро~ д.8 к.2 стр.п.1-4,11-14 '!$C$14</definedName>
    <definedName name="_114h_E17">'Ро~ д.8 к.2 стр.п.1-4,11-14 '!$C$15</definedName>
    <definedName name="_114h_E18">'Ро~ д.8 к.2 стр.п.1-4,11-14 '!$C$16</definedName>
    <definedName name="_114h_E19">'Ро~ д.8 к.2 стр.п.1-4,11-14 '!$C$17</definedName>
    <definedName name="_114h_E20">'Ро~ д.8 к.2 стр.п.1-4,11-14 '!$C$18</definedName>
    <definedName name="_114h_E21">'Ро~ д.8 к.2 стр.п.1-4,11-14 '!$C$19</definedName>
    <definedName name="_114h_E22">'Ро~ д.8 к.2 стр.п.1-4,11-14 '!$C$20</definedName>
    <definedName name="_114h_E23">'Ро~ д.8 к.2 стр.п.1-4,11-14 '!$C$21</definedName>
    <definedName name="_114h_E24">'Ро~ д.8 к.2 стр.п.1-4,11-14 '!$C$22</definedName>
    <definedName name="_114h_E25">'Ро~ д.8 к.2 стр.п.1-4,11-14 '!$C$23</definedName>
    <definedName name="_114h_E26">'Ро~ д.8 к.2 стр.п.1-4,11-14 '!$C$24</definedName>
    <definedName name="_114h_E27">'Ро~ д.8 к.2 стр.п.1-4,11-14 '!$C$25</definedName>
    <definedName name="_114h_E28">'Ро~ д.8 к.2 стр.п.1-4,11-14 '!$C$26</definedName>
    <definedName name="_114h_E29">'Ро~ д.8 к.2 стр.п.1-4,11-14 '!$C$27</definedName>
    <definedName name="_114h_E30">'Ро~ д.8 к.2 стр.п.1-4,11-14 '!$C$28</definedName>
    <definedName name="_114h_E31">'Ро~ д.8 к.2 стр.п.1-4,11-14 '!$C$29</definedName>
    <definedName name="_114h_E32">'Ро~ д.8 к.2 стр.п.1-4,11-14 '!$C$30</definedName>
    <definedName name="_114h_E33">'Ро~ д.8 к.2 стр.п.1-4,11-14 '!$C$31</definedName>
    <definedName name="_114h_E34">'Ро~ д.8 к.2 стр.п.1-4,11-14 '!$C$32</definedName>
    <definedName name="_114h_E35">'Ро~ д.8 к.2 стр.п.1-4,11-14 '!$C$33</definedName>
    <definedName name="_114h_E36">'Ро~ д.8 к.2 стр.п.1-4,11-14 '!$C$34</definedName>
    <definedName name="_114h_E37">'Ро~ д.8 к.2 стр.п.1-4,11-14 '!$C$35</definedName>
    <definedName name="_114h_E38">'Ро~ д.8 к.2 стр.п.1-4,11-14 '!$C$36</definedName>
    <definedName name="_114h_E39">'Ро~ д.8 к.2 стр.п.1-4,11-14 '!$C$37</definedName>
    <definedName name="_114h_E40">'Ро~ д.8 к.2 стр.п.1-4,11-14 '!$C$38</definedName>
    <definedName name="_114h_E41">'Ро~ д.8 к.2 стр.п.1-4,11-14 '!$C$39</definedName>
    <definedName name="_114h_E42">'Ро~ д.8 к.2 стр.п.1-4,11-14 '!$C$40</definedName>
    <definedName name="_114h_E43">'Ро~ д.8 к.2 стр.п.1-4,11-14 '!$C$41</definedName>
    <definedName name="_114h_E44">'Ро~ д.8 к.2 стр.п.1-4,11-14 '!$C$42</definedName>
    <definedName name="_114h_E45">'Ро~ д.8 к.2 стр.п.1-4,11-14 '!$C$43</definedName>
    <definedName name="_114h_E46">'Ро~ д.8 к.2 стр.п.1-4,11-14 '!$C$44</definedName>
    <definedName name="_114h_E47">'Ро~ д.8 к.2 стр.п.1-4,11-14 '!$C$45</definedName>
    <definedName name="_114h_E48">'Ро~ д.8 к.2 стр.п.1-4,11-14 '!$C$46</definedName>
    <definedName name="_114h_E49">'Ро~ д.8 к.2 стр.п.1-4,11-14 '!$C$47</definedName>
    <definedName name="_114h_E50">'Ро~ д.8 к.2 стр.п.1-4,11-14 '!$C$48</definedName>
    <definedName name="_114h_E51">'Ро~ д.8 к.2 стр.п.1-4,11-14 '!$C$49</definedName>
    <definedName name="_114h_E52">'Ро~ д.8 к.2 стр.п.1-4,11-14 '!#REF!</definedName>
    <definedName name="_114h_E53">'Ро~ д.8 к.2 стр.п.1-4,11-14 '!$C$50</definedName>
    <definedName name="_114h_E54">'Ро~ д.8 к.2 стр.п.1-4,11-14 '!$C$51</definedName>
    <definedName name="_114h_E55">'Ро~ д.8 к.2 стр.п.1-4,11-14 '!$C$52</definedName>
    <definedName name="_114h_E56">'Ро~ д.8 к.2 стр.п.1-4,11-14 '!$C$53</definedName>
    <definedName name="_114h_E57">'Ро~ д.8 к.2 стр.п.1-4,11-14 '!$C$54</definedName>
    <definedName name="_114h_E58">'Ро~ д.8 к.2 стр.п.1-4,11-14 '!$C$55</definedName>
    <definedName name="_114h_E59">'Ро~ д.8 к.2 стр.п.1-4,11-14 '!$C$56</definedName>
    <definedName name="_114h_E60">'Ро~ д.8 к.2 стр.п.1-4,11-14 '!$C$57</definedName>
    <definedName name="_114h_E61">'Ро~ д.8 к.2 стр.п.1-4,11-14 '!$C$58</definedName>
    <definedName name="_114h_E62">'Ро~ д.8 к.2 стр.п.1-4,11-14 '!$C$59</definedName>
    <definedName name="_114h_E63">'Ро~ д.8 к.2 стр.п.1-4,11-14 '!#REF!</definedName>
    <definedName name="_114h_E64">'Ро~ д.8 к.2 стр.п.1-4,11-14 '!$C$60</definedName>
    <definedName name="_114h_E65">'Ро~ д.8 к.2 стр.п.1-4,11-14 '!$C$61</definedName>
    <definedName name="_114h_E7">'Ро~ д.8 к.2 стр.п.1-4,11-14 '!$C$5</definedName>
    <definedName name="_114h_E8">'Ро~ д.8 к.2 стр.п.1-4,11-14 '!$C$6</definedName>
    <definedName name="_114h_E9">'Ро~ д.8 к.2 стр.п.1-4,11-14 '!$C$7</definedName>
    <definedName name="_114h_F10">'Ро~ д.8 к.2 стр.п.1-4,11-14 '!$D$8</definedName>
    <definedName name="_114h_F11">'Ро~ д.8 к.2 стр.п.1-4,11-14 '!$D$9</definedName>
    <definedName name="_114h_F12">'Ро~ д.8 к.2 стр.п.1-4,11-14 '!$D$10</definedName>
    <definedName name="_114h_F13">'Ро~ д.8 к.2 стр.п.1-4,11-14 '!$D$11</definedName>
    <definedName name="_114h_F14">'Ро~ д.8 к.2 стр.п.1-4,11-14 '!$D$12</definedName>
    <definedName name="_114h_F15">'Ро~ д.8 к.2 стр.п.1-4,11-14 '!$D$13</definedName>
    <definedName name="_114h_F16">'Ро~ д.8 к.2 стр.п.1-4,11-14 '!$D$14</definedName>
    <definedName name="_114h_F17">'Ро~ д.8 к.2 стр.п.1-4,11-14 '!$D$15</definedName>
    <definedName name="_114h_F18">'Ро~ д.8 к.2 стр.п.1-4,11-14 '!$D$16</definedName>
    <definedName name="_114h_F19">'Ро~ д.8 к.2 стр.п.1-4,11-14 '!$D$17</definedName>
    <definedName name="_114h_F20">'Ро~ д.8 к.2 стр.п.1-4,11-14 '!$D$18</definedName>
    <definedName name="_114h_F21">'Ро~ д.8 к.2 стр.п.1-4,11-14 '!$D$19</definedName>
    <definedName name="_114h_F22">'Ро~ д.8 к.2 стр.п.1-4,11-14 '!$D$20</definedName>
    <definedName name="_114h_F23">'Ро~ д.8 к.2 стр.п.1-4,11-14 '!$D$21</definedName>
    <definedName name="_114h_F24">'Ро~ д.8 к.2 стр.п.1-4,11-14 '!$D$22</definedName>
    <definedName name="_114h_F25">'Ро~ д.8 к.2 стр.п.1-4,11-14 '!$D$23</definedName>
    <definedName name="_114h_F26">'Ро~ д.8 к.2 стр.п.1-4,11-14 '!$D$24</definedName>
    <definedName name="_114h_F27">'Ро~ д.8 к.2 стр.п.1-4,11-14 '!$D$25</definedName>
    <definedName name="_114h_F28">'Ро~ д.8 к.2 стр.п.1-4,11-14 '!$D$26</definedName>
    <definedName name="_114h_F29">'Ро~ д.8 к.2 стр.п.1-4,11-14 '!$D$27</definedName>
    <definedName name="_114h_F30">'Ро~ д.8 к.2 стр.п.1-4,11-14 '!$D$28</definedName>
    <definedName name="_114h_F31">'Ро~ д.8 к.2 стр.п.1-4,11-14 '!$D$29</definedName>
    <definedName name="_114h_F32">'Ро~ д.8 к.2 стр.п.1-4,11-14 '!$D$30</definedName>
    <definedName name="_114h_F33">'Ро~ д.8 к.2 стр.п.1-4,11-14 '!$D$31</definedName>
    <definedName name="_114h_F34">'Ро~ д.8 к.2 стр.п.1-4,11-14 '!$D$32</definedName>
    <definedName name="_114h_F35">'Ро~ д.8 к.2 стр.п.1-4,11-14 '!$D$33</definedName>
    <definedName name="_114h_F36">'Ро~ д.8 к.2 стр.п.1-4,11-14 '!$D$34</definedName>
    <definedName name="_114h_F37">'Ро~ д.8 к.2 стр.п.1-4,11-14 '!$D$35</definedName>
    <definedName name="_114h_F38">'Ро~ д.8 к.2 стр.п.1-4,11-14 '!$D$36</definedName>
    <definedName name="_114h_F39">'Ро~ д.8 к.2 стр.п.1-4,11-14 '!$D$37</definedName>
    <definedName name="_114h_F40">'Ро~ д.8 к.2 стр.п.1-4,11-14 '!$D$38</definedName>
    <definedName name="_114h_F41">'Ро~ д.8 к.2 стр.п.1-4,11-14 '!$D$39</definedName>
    <definedName name="_114h_F42">'Ро~ д.8 к.2 стр.п.1-4,11-14 '!$D$40</definedName>
    <definedName name="_114h_F43">'Ро~ д.8 к.2 стр.п.1-4,11-14 '!$D$41</definedName>
    <definedName name="_114h_F44">'Ро~ д.8 к.2 стр.п.1-4,11-14 '!$D$42</definedName>
    <definedName name="_114h_F45">'Ро~ д.8 к.2 стр.п.1-4,11-14 '!$D$43</definedName>
    <definedName name="_114h_F46">'Ро~ д.8 к.2 стр.п.1-4,11-14 '!$D$44</definedName>
    <definedName name="_114h_F47">'Ро~ д.8 к.2 стр.п.1-4,11-14 '!$D$45</definedName>
    <definedName name="_114h_F48">'Ро~ д.8 к.2 стр.п.1-4,11-14 '!$D$46</definedName>
    <definedName name="_114h_F49">'Ро~ д.8 к.2 стр.п.1-4,11-14 '!$D$47</definedName>
    <definedName name="_114h_F50">'Ро~ д.8 к.2 стр.п.1-4,11-14 '!$D$48</definedName>
    <definedName name="_114h_F51">'Ро~ д.8 к.2 стр.п.1-4,11-14 '!$D$49</definedName>
    <definedName name="_114h_F52">'Ро~ д.8 к.2 стр.п.1-4,11-14 '!#REF!</definedName>
    <definedName name="_114h_F53">'Ро~ д.8 к.2 стр.п.1-4,11-14 '!$D$50</definedName>
    <definedName name="_114h_F54">'Ро~ д.8 к.2 стр.п.1-4,11-14 '!$D$51</definedName>
    <definedName name="_114h_F55">'Ро~ д.8 к.2 стр.п.1-4,11-14 '!$D$52</definedName>
    <definedName name="_114h_F56">'Ро~ д.8 к.2 стр.п.1-4,11-14 '!$D$53</definedName>
    <definedName name="_114h_F57">'Ро~ д.8 к.2 стр.п.1-4,11-14 '!$D$54</definedName>
    <definedName name="_114h_F58">'Ро~ д.8 к.2 стр.п.1-4,11-14 '!$D$55</definedName>
    <definedName name="_114h_F59">'Ро~ д.8 к.2 стр.п.1-4,11-14 '!$D$56</definedName>
    <definedName name="_114h_F60">'Ро~ д.8 к.2 стр.п.1-4,11-14 '!$D$57</definedName>
    <definedName name="_114h_F61">'Ро~ д.8 к.2 стр.п.1-4,11-14 '!$D$58</definedName>
    <definedName name="_114h_F62">'Ро~ д.8 к.2 стр.п.1-4,11-14 '!$D$59</definedName>
    <definedName name="_114h_F63">'Ро~ д.8 к.2 стр.п.1-4,11-14 '!#REF!</definedName>
    <definedName name="_114h_F64">'Ро~ д.8 к.2 стр.п.1-4,11-14 '!$D$60</definedName>
    <definedName name="_114h_F65">'Ро~ д.8 к.2 стр.п.1-4,11-14 '!$D$61</definedName>
    <definedName name="_114h_F7">'Ро~ д.8 к.2 стр.п.1-4,11-14 '!$D$5</definedName>
    <definedName name="_114h_F8">'Ро~ д.8 к.2 стр.п.1-4,11-14 '!$D$6</definedName>
    <definedName name="_114h_F9">'Ро~ д.8 к.2 стр.п.1-4,11-14 '!$D$7</definedName>
    <definedName name="_115h_E10">'Рокотова д.8 к.5'!$C$8</definedName>
    <definedName name="_115h_E11">'Рокотова д.8 к.5'!$C$9</definedName>
    <definedName name="_115h_E12">'Рокотова д.8 к.5'!$C$10</definedName>
    <definedName name="_115h_E13">'Рокотова д.8 к.5'!$C$11</definedName>
    <definedName name="_115h_E14">'Рокотова д.8 к.5'!$C$12</definedName>
    <definedName name="_115h_E15">'Рокотова д.8 к.5'!$C$13</definedName>
    <definedName name="_115h_E16">'Рокотова д.8 к.5'!$C$14</definedName>
    <definedName name="_115h_E17">'Рокотова д.8 к.5'!$C$15</definedName>
    <definedName name="_115h_E18">'Рокотова д.8 к.5'!$C$16</definedName>
    <definedName name="_115h_E19">'Рокотова д.8 к.5'!$C$17</definedName>
    <definedName name="_115h_E20">'Рокотова д.8 к.5'!$C$18</definedName>
    <definedName name="_115h_E21">'Рокотова д.8 к.5'!$C$19</definedName>
    <definedName name="_115h_E22">'Рокотова д.8 к.5'!$C$20</definedName>
    <definedName name="_115h_E23">'Рокотова д.8 к.5'!$C$21</definedName>
    <definedName name="_115h_E24">'Рокотова д.8 к.5'!$C$22</definedName>
    <definedName name="_115h_E25">'Рокотова д.8 к.5'!$C$23</definedName>
    <definedName name="_115h_E26">'Рокотова д.8 к.5'!$C$24</definedName>
    <definedName name="_115h_E27">'Рокотова д.8 к.5'!$C$25</definedName>
    <definedName name="_115h_E28">'Рокотова д.8 к.5'!$C$26</definedName>
    <definedName name="_115h_E29">'Рокотова д.8 к.5'!$C$27</definedName>
    <definedName name="_115h_E30">'Рокотова д.8 к.5'!$C$28</definedName>
    <definedName name="_115h_E31">'Рокотова д.8 к.5'!$C$29</definedName>
    <definedName name="_115h_E32">'Рокотова д.8 к.5'!$C$30</definedName>
    <definedName name="_115h_E33">'Рокотова д.8 к.5'!$C$31</definedName>
    <definedName name="_115h_E34">'Рокотова д.8 к.5'!$C$32</definedName>
    <definedName name="_115h_E35">'Рокотова д.8 к.5'!$C$33</definedName>
    <definedName name="_115h_E36">'Рокотова д.8 к.5'!$C$34</definedName>
    <definedName name="_115h_E37">'Рокотова д.8 к.5'!$C$35</definedName>
    <definedName name="_115h_E38">'Рокотова д.8 к.5'!$C$36</definedName>
    <definedName name="_115h_E39">'Рокотова д.8 к.5'!$C$37</definedName>
    <definedName name="_115h_E40">'Рокотова д.8 к.5'!$C$38</definedName>
    <definedName name="_115h_E41">'Рокотова д.8 к.5'!$C$39</definedName>
    <definedName name="_115h_E42">'Рокотова д.8 к.5'!$C$40</definedName>
    <definedName name="_115h_E43">'Рокотова д.8 к.5'!$C$41</definedName>
    <definedName name="_115h_E44">'Рокотова д.8 к.5'!$C$42</definedName>
    <definedName name="_115h_E45">'Рокотова д.8 к.5'!$C$43</definedName>
    <definedName name="_115h_E46">'Рокотова д.8 к.5'!$C$44</definedName>
    <definedName name="_115h_E47">'Рокотова д.8 к.5'!$C$45</definedName>
    <definedName name="_115h_E48">'Рокотова д.8 к.5'!$C$46</definedName>
    <definedName name="_115h_E49">'Рокотова д.8 к.5'!$C$47</definedName>
    <definedName name="_115h_E50">'Рокотова д.8 к.5'!$C$48</definedName>
    <definedName name="_115h_E51">'Рокотова д.8 к.5'!$C$49</definedName>
    <definedName name="_115h_E52">'Рокотова д.8 к.5'!#REF!</definedName>
    <definedName name="_115h_E53">'Рокотова д.8 к.5'!$C$50</definedName>
    <definedName name="_115h_E54">'Рокотова д.8 к.5'!$C$51</definedName>
    <definedName name="_115h_E55">'Рокотова д.8 к.5'!$C$52</definedName>
    <definedName name="_115h_E56">'Рокотова д.8 к.5'!$C$53</definedName>
    <definedName name="_115h_E57">'Рокотова д.8 к.5'!$C$54</definedName>
    <definedName name="_115h_E58">'Рокотова д.8 к.5'!$C$55</definedName>
    <definedName name="_115h_E59">'Рокотова д.8 к.5'!$C$56</definedName>
    <definedName name="_115h_E60">'Рокотова д.8 к.5'!$C$57</definedName>
    <definedName name="_115h_E61">'Рокотова д.8 к.5'!$C$58</definedName>
    <definedName name="_115h_E62">'Рокотова д.8 к.5'!$C$59</definedName>
    <definedName name="_115h_E63">'Рокотова д.8 к.5'!#REF!</definedName>
    <definedName name="_115h_E64">'Рокотова д.8 к.5'!$C$60</definedName>
    <definedName name="_115h_E65">'Рокотова д.8 к.5'!$C$61</definedName>
    <definedName name="_115h_E7">'Рокотова д.8 к.5'!$C$5</definedName>
    <definedName name="_115h_E8">'Рокотова д.8 к.5'!$C$6</definedName>
    <definedName name="_115h_E9">'Рокотова д.8 к.5'!$C$7</definedName>
    <definedName name="_115h_F10">'Рокотова д.8 к.5'!$D$8</definedName>
    <definedName name="_115h_F11">'Рокотова д.8 к.5'!$D$9</definedName>
    <definedName name="_115h_F12">'Рокотова д.8 к.5'!$D$10</definedName>
    <definedName name="_115h_F13">'Рокотова д.8 к.5'!$D$11</definedName>
    <definedName name="_115h_F14">'Рокотова д.8 к.5'!$D$12</definedName>
    <definedName name="_115h_F15">'Рокотова д.8 к.5'!$D$13</definedName>
    <definedName name="_115h_F16">'Рокотова д.8 к.5'!$D$14</definedName>
    <definedName name="_115h_F17">'Рокотова д.8 к.5'!$D$15</definedName>
    <definedName name="_115h_F18">'Рокотова д.8 к.5'!$D$16</definedName>
    <definedName name="_115h_F19">'Рокотова д.8 к.5'!$D$17</definedName>
    <definedName name="_115h_F20">'Рокотова д.8 к.5'!$D$18</definedName>
    <definedName name="_115h_F21">'Рокотова д.8 к.5'!$D$19</definedName>
    <definedName name="_115h_F22">'Рокотова д.8 к.5'!$D$20</definedName>
    <definedName name="_115h_F23">'Рокотова д.8 к.5'!$D$21</definedName>
    <definedName name="_115h_F24">'Рокотова д.8 к.5'!$D$22</definedName>
    <definedName name="_115h_F25">'Рокотова д.8 к.5'!$D$23</definedName>
    <definedName name="_115h_F26">'Рокотова д.8 к.5'!$D$24</definedName>
    <definedName name="_115h_F27">'Рокотова д.8 к.5'!$D$25</definedName>
    <definedName name="_115h_F28">'Рокотова д.8 к.5'!$D$26</definedName>
    <definedName name="_115h_F29">'Рокотова д.8 к.5'!$D$27</definedName>
    <definedName name="_115h_F30">'Рокотова д.8 к.5'!$D$28</definedName>
    <definedName name="_115h_F31">'Рокотова д.8 к.5'!$D$29</definedName>
    <definedName name="_115h_F32">'Рокотова д.8 к.5'!$D$30</definedName>
    <definedName name="_115h_F33">'Рокотова д.8 к.5'!$D$31</definedName>
    <definedName name="_115h_F34">'Рокотова д.8 к.5'!$D$32</definedName>
    <definedName name="_115h_F35">'Рокотова д.8 к.5'!$D$33</definedName>
    <definedName name="_115h_F36">'Рокотова д.8 к.5'!$D$34</definedName>
    <definedName name="_115h_F37">'Рокотова д.8 к.5'!$D$35</definedName>
    <definedName name="_115h_F38">'Рокотова д.8 к.5'!$D$36</definedName>
    <definedName name="_115h_F39">'Рокотова д.8 к.5'!$D$37</definedName>
    <definedName name="_115h_F40">'Рокотова д.8 к.5'!$D$38</definedName>
    <definedName name="_115h_F41">'Рокотова д.8 к.5'!$D$39</definedName>
    <definedName name="_115h_F42">'Рокотова д.8 к.5'!$D$40</definedName>
    <definedName name="_115h_F43">'Рокотова д.8 к.5'!$D$41</definedName>
    <definedName name="_115h_F44">'Рокотова д.8 к.5'!$D$42</definedName>
    <definedName name="_115h_F45">'Рокотова д.8 к.5'!$D$43</definedName>
    <definedName name="_115h_F46">'Рокотова д.8 к.5'!$D$44</definedName>
    <definedName name="_115h_F47">'Рокотова д.8 к.5'!$D$45</definedName>
    <definedName name="_115h_F48">'Рокотова д.8 к.5'!$D$46</definedName>
    <definedName name="_115h_F49">'Рокотова д.8 к.5'!$D$47</definedName>
    <definedName name="_115h_F50">'Рокотова д.8 к.5'!$D$48</definedName>
    <definedName name="_115h_F51">'Рокотова д.8 к.5'!$D$49</definedName>
    <definedName name="_115h_F52">'Рокотова д.8 к.5'!#REF!</definedName>
    <definedName name="_115h_F53">'Рокотова д.8 к.5'!$D$50</definedName>
    <definedName name="_115h_F54">'Рокотова д.8 к.5'!$D$51</definedName>
    <definedName name="_115h_F55">'Рокотова д.8 к.5'!$D$52</definedName>
    <definedName name="_115h_F56">'Рокотова д.8 к.5'!$D$53</definedName>
    <definedName name="_115h_F57">'Рокотова д.8 к.5'!$D$54</definedName>
    <definedName name="_115h_F58">'Рокотова д.8 к.5'!$D$55</definedName>
    <definedName name="_115h_F59">'Рокотова д.8 к.5'!$D$56</definedName>
    <definedName name="_115h_F60">'Рокотова д.8 к.5'!$D$57</definedName>
    <definedName name="_115h_F61">'Рокотова д.8 к.5'!$D$58</definedName>
    <definedName name="_115h_F62">'Рокотова д.8 к.5'!$D$59</definedName>
    <definedName name="_115h_F63">'Рокотова д.8 к.5'!#REF!</definedName>
    <definedName name="_115h_F64">'Рокотова д.8 к.5'!$D$60</definedName>
    <definedName name="_115h_F65">'Рокотова д.8 к.5'!$D$61</definedName>
    <definedName name="_115h_F7">'Рокотова д.8 к.5'!$D$5</definedName>
    <definedName name="_115h_F8">'Рокотова д.8 к.5'!$D$6</definedName>
    <definedName name="_115h_F9">'Рокотова д.8 к.5'!$D$7</definedName>
    <definedName name="_116h_E10">'Соловь~ д.2 стр.п.1-6,14-17 '!$C$8</definedName>
    <definedName name="_116h_E11">'Соловь~ д.2 стр.п.1-6,14-17 '!$C$9</definedName>
    <definedName name="_116h_E12">'Соловь~ д.2 стр.п.1-6,14-17 '!$C$10</definedName>
    <definedName name="_116h_E13">'Соловь~ д.2 стр.п.1-6,14-17 '!$C$11</definedName>
    <definedName name="_116h_E14">'Соловь~ д.2 стр.п.1-6,14-17 '!$C$12</definedName>
    <definedName name="_116h_E15">'Соловь~ д.2 стр.п.1-6,14-17 '!$C$13</definedName>
    <definedName name="_116h_E16">'Соловь~ д.2 стр.п.1-6,14-17 '!$C$14</definedName>
    <definedName name="_116h_E17">'Соловь~ д.2 стр.п.1-6,14-17 '!$C$15</definedName>
    <definedName name="_116h_E18">'Соловь~ д.2 стр.п.1-6,14-17 '!$C$16</definedName>
    <definedName name="_116h_E19">'Соловь~ д.2 стр.п.1-6,14-17 '!$C$17</definedName>
    <definedName name="_116h_E20">'Соловь~ д.2 стр.п.1-6,14-17 '!$C$18</definedName>
    <definedName name="_116h_E21">'Соловь~ д.2 стр.п.1-6,14-17 '!$C$19</definedName>
    <definedName name="_116h_E22">'Соловь~ д.2 стр.п.1-6,14-17 '!$C$20</definedName>
    <definedName name="_116h_E23">'Соловь~ д.2 стр.п.1-6,14-17 '!$C$21</definedName>
    <definedName name="_116h_E24">'Соловь~ д.2 стр.п.1-6,14-17 '!$C$22</definedName>
    <definedName name="_116h_E25">'Соловь~ д.2 стр.п.1-6,14-17 '!$C$23</definedName>
    <definedName name="_116h_E26">'Соловь~ д.2 стр.п.1-6,14-17 '!$C$24</definedName>
    <definedName name="_116h_E27">'Соловь~ д.2 стр.п.1-6,14-17 '!$C$25</definedName>
    <definedName name="_116h_E28">'Соловь~ д.2 стр.п.1-6,14-17 '!$C$26</definedName>
    <definedName name="_116h_E29">'Соловь~ д.2 стр.п.1-6,14-17 '!$C$27</definedName>
    <definedName name="_116h_E30">'Соловь~ д.2 стр.п.1-6,14-17 '!$C$28</definedName>
    <definedName name="_116h_E31">'Соловь~ д.2 стр.п.1-6,14-17 '!$C$29</definedName>
    <definedName name="_116h_E32">'Соловь~ д.2 стр.п.1-6,14-17 '!$C$30</definedName>
    <definedName name="_116h_E33">'Соловь~ д.2 стр.п.1-6,14-17 '!$C$31</definedName>
    <definedName name="_116h_E34">'Соловь~ д.2 стр.п.1-6,14-17 '!$C$32</definedName>
    <definedName name="_116h_E35">'Соловь~ д.2 стр.п.1-6,14-17 '!$C$33</definedName>
    <definedName name="_116h_E36">'Соловь~ д.2 стр.п.1-6,14-17 '!$C$34</definedName>
    <definedName name="_116h_E37">'Соловь~ д.2 стр.п.1-6,14-17 '!$C$35</definedName>
    <definedName name="_116h_E38">'Соловь~ д.2 стр.п.1-6,14-17 '!$C$36</definedName>
    <definedName name="_116h_E39">'Соловь~ д.2 стр.п.1-6,14-17 '!$C$37</definedName>
    <definedName name="_116h_E40">'Соловь~ д.2 стр.п.1-6,14-17 '!$C$38</definedName>
    <definedName name="_116h_E41">'Соловь~ д.2 стр.п.1-6,14-17 '!$C$39</definedName>
    <definedName name="_116h_E42">'Соловь~ д.2 стр.п.1-6,14-17 '!$C$40</definedName>
    <definedName name="_116h_E43">'Соловь~ д.2 стр.п.1-6,14-17 '!$C$41</definedName>
    <definedName name="_116h_E44">'Соловь~ д.2 стр.п.1-6,14-17 '!$C$42</definedName>
    <definedName name="_116h_E45">'Соловь~ д.2 стр.п.1-6,14-17 '!$C$43</definedName>
    <definedName name="_116h_E46">'Соловь~ д.2 стр.п.1-6,14-17 '!$C$44</definedName>
    <definedName name="_116h_E47">'Соловь~ д.2 стр.п.1-6,14-17 '!$C$45</definedName>
    <definedName name="_116h_E48">'Соловь~ д.2 стр.п.1-6,14-17 '!$C$46</definedName>
    <definedName name="_116h_E49">'Соловь~ д.2 стр.п.1-6,14-17 '!$C$47</definedName>
    <definedName name="_116h_E50">'Соловь~ д.2 стр.п.1-6,14-17 '!$C$48</definedName>
    <definedName name="_116h_E51">'Соловь~ д.2 стр.п.1-6,14-17 '!$C$49</definedName>
    <definedName name="_116h_E52">'Соловь~ д.2 стр.п.1-6,14-17 '!#REF!</definedName>
    <definedName name="_116h_E53">'Соловь~ д.2 стр.п.1-6,14-17 '!$C$50</definedName>
    <definedName name="_116h_E54">'Соловь~ д.2 стр.п.1-6,14-17 '!$C$51</definedName>
    <definedName name="_116h_E55">'Соловь~ д.2 стр.п.1-6,14-17 '!$C$52</definedName>
    <definedName name="_116h_E56">'Соловь~ д.2 стр.п.1-6,14-17 '!$C$53</definedName>
    <definedName name="_116h_E57">'Соловь~ д.2 стр.п.1-6,14-17 '!$C$54</definedName>
    <definedName name="_116h_E58">'Соловь~ д.2 стр.п.1-6,14-17 '!$C$55</definedName>
    <definedName name="_116h_E59">'Соловь~ д.2 стр.п.1-6,14-17 '!$C$56</definedName>
    <definedName name="_116h_E60">'Соловь~ д.2 стр.п.1-6,14-17 '!$C$57</definedName>
    <definedName name="_116h_E61">'Соловь~ д.2 стр.п.1-6,14-17 '!$C$58</definedName>
    <definedName name="_116h_E62">'Соловь~ д.2 стр.п.1-6,14-17 '!$C$59</definedName>
    <definedName name="_116h_E63">'Соловь~ д.2 стр.п.1-6,14-17 '!#REF!</definedName>
    <definedName name="_116h_E64">'Соловь~ д.2 стр.п.1-6,14-17 '!$C$60</definedName>
    <definedName name="_116h_E65">'Соловь~ д.2 стр.п.1-6,14-17 '!$C$61</definedName>
    <definedName name="_116h_E7">'Соловь~ д.2 стр.п.1-6,14-17 '!$C$5</definedName>
    <definedName name="_116h_E8">'Соловь~ д.2 стр.п.1-6,14-17 '!$C$6</definedName>
    <definedName name="_116h_E9">'Соловь~ д.2 стр.п.1-6,14-17 '!$C$7</definedName>
    <definedName name="_116h_F10">'Соловь~ д.2 стр.п.1-6,14-17 '!$D$8</definedName>
    <definedName name="_116h_F11">'Соловь~ д.2 стр.п.1-6,14-17 '!$D$9</definedName>
    <definedName name="_116h_F12">'Соловь~ д.2 стр.п.1-6,14-17 '!$D$10</definedName>
    <definedName name="_116h_F13">'Соловь~ д.2 стр.п.1-6,14-17 '!$D$11</definedName>
    <definedName name="_116h_F14">'Соловь~ д.2 стр.п.1-6,14-17 '!$D$12</definedName>
    <definedName name="_116h_F15">'Соловь~ д.2 стр.п.1-6,14-17 '!$D$13</definedName>
    <definedName name="_116h_F16">'Соловь~ д.2 стр.п.1-6,14-17 '!$D$14</definedName>
    <definedName name="_116h_F17">'Соловь~ д.2 стр.п.1-6,14-17 '!$D$15</definedName>
    <definedName name="_116h_F18">'Соловь~ д.2 стр.п.1-6,14-17 '!$D$16</definedName>
    <definedName name="_116h_F19">'Соловь~ д.2 стр.п.1-6,14-17 '!$D$17</definedName>
    <definedName name="_116h_F20">'Соловь~ д.2 стр.п.1-6,14-17 '!$D$18</definedName>
    <definedName name="_116h_F21">'Соловь~ д.2 стр.п.1-6,14-17 '!$D$19</definedName>
    <definedName name="_116h_F22">'Соловь~ д.2 стр.п.1-6,14-17 '!$D$20</definedName>
    <definedName name="_116h_F23">'Соловь~ д.2 стр.п.1-6,14-17 '!$D$21</definedName>
    <definedName name="_116h_F24">'Соловь~ д.2 стр.п.1-6,14-17 '!$D$22</definedName>
    <definedName name="_116h_F25">'Соловь~ д.2 стр.п.1-6,14-17 '!$D$23</definedName>
    <definedName name="_116h_F26">'Соловь~ д.2 стр.п.1-6,14-17 '!$D$24</definedName>
    <definedName name="_116h_F27">'Соловь~ д.2 стр.п.1-6,14-17 '!$D$25</definedName>
    <definedName name="_116h_F28">'Соловь~ д.2 стр.п.1-6,14-17 '!$D$26</definedName>
    <definedName name="_116h_F29">'Соловь~ д.2 стр.п.1-6,14-17 '!$D$27</definedName>
    <definedName name="_116h_F30">'Соловь~ д.2 стр.п.1-6,14-17 '!$D$28</definedName>
    <definedName name="_116h_F31">'Соловь~ д.2 стр.п.1-6,14-17 '!$D$29</definedName>
    <definedName name="_116h_F32">'Соловь~ д.2 стр.п.1-6,14-17 '!$D$30</definedName>
    <definedName name="_116h_F33">'Соловь~ д.2 стр.п.1-6,14-17 '!$D$31</definedName>
    <definedName name="_116h_F34">'Соловь~ д.2 стр.п.1-6,14-17 '!$D$32</definedName>
    <definedName name="_116h_F35">'Соловь~ д.2 стр.п.1-6,14-17 '!$D$33</definedName>
    <definedName name="_116h_F36">'Соловь~ д.2 стр.п.1-6,14-17 '!$D$34</definedName>
    <definedName name="_116h_F37">'Соловь~ д.2 стр.п.1-6,14-17 '!$D$35</definedName>
    <definedName name="_116h_F38">'Соловь~ д.2 стр.п.1-6,14-17 '!$D$36</definedName>
    <definedName name="_116h_F39">'Соловь~ д.2 стр.п.1-6,14-17 '!$D$37</definedName>
    <definedName name="_116h_F40">'Соловь~ д.2 стр.п.1-6,14-17 '!$D$38</definedName>
    <definedName name="_116h_F41">'Соловь~ д.2 стр.п.1-6,14-17 '!$D$39</definedName>
    <definedName name="_116h_F42">'Соловь~ д.2 стр.п.1-6,14-17 '!$D$40</definedName>
    <definedName name="_116h_F43">'Соловь~ д.2 стр.п.1-6,14-17 '!$D$41</definedName>
    <definedName name="_116h_F44">'Соловь~ д.2 стр.п.1-6,14-17 '!$D$42</definedName>
    <definedName name="_116h_F45">'Соловь~ д.2 стр.п.1-6,14-17 '!$D$43</definedName>
    <definedName name="_116h_F46">'Соловь~ д.2 стр.п.1-6,14-17 '!$D$44</definedName>
    <definedName name="_116h_F47">'Соловь~ д.2 стр.п.1-6,14-17 '!$D$45</definedName>
    <definedName name="_116h_F48">'Соловь~ д.2 стр.п.1-6,14-17 '!$D$46</definedName>
    <definedName name="_116h_F49">'Соловь~ д.2 стр.п.1-6,14-17 '!$D$47</definedName>
    <definedName name="_116h_F50">'Соловь~ д.2 стр.п.1-6,14-17 '!$D$48</definedName>
    <definedName name="_116h_F51">'Соловь~ д.2 стр.п.1-6,14-17 '!$D$49</definedName>
    <definedName name="_116h_F52">'Соловь~ д.2 стр.п.1-6,14-17 '!#REF!</definedName>
    <definedName name="_116h_F53">'Соловь~ д.2 стр.п.1-6,14-17 '!$D$50</definedName>
    <definedName name="_116h_F54">'Соловь~ д.2 стр.п.1-6,14-17 '!$D$51</definedName>
    <definedName name="_116h_F55">'Соловь~ д.2 стр.п.1-6,14-17 '!$D$52</definedName>
    <definedName name="_116h_F56">'Соловь~ д.2 стр.п.1-6,14-17 '!$D$53</definedName>
    <definedName name="_116h_F57">'Соловь~ д.2 стр.п.1-6,14-17 '!$D$54</definedName>
    <definedName name="_116h_F58">'Соловь~ д.2 стр.п.1-6,14-17 '!$D$55</definedName>
    <definedName name="_116h_F59">'Соловь~ д.2 стр.п.1-6,14-17 '!$D$56</definedName>
    <definedName name="_116h_F60">'Соловь~ д.2 стр.п.1-6,14-17 '!$D$57</definedName>
    <definedName name="_116h_F61">'Соловь~ д.2 стр.п.1-6,14-17 '!$D$58</definedName>
    <definedName name="_116h_F62">'Соловь~ д.2 стр.п.1-6,14-17 '!$D$59</definedName>
    <definedName name="_116h_F63">'Соловь~ д.2 стр.п.1-6,14-17 '!#REF!</definedName>
    <definedName name="_116h_F64">'Соловь~ д.2 стр.п.1-6,14-17 '!$D$60</definedName>
    <definedName name="_116h_F65">'Соловь~ д.2 стр.п.1-6,14-17 '!$D$61</definedName>
    <definedName name="_116h_F7">'Соловь~ д.2 стр.п.1-6,14-17 '!$D$5</definedName>
    <definedName name="_116h_F8">'Соловь~ д.2 стр.п.1-6,14-17 '!$D$6</definedName>
    <definedName name="_116h_F9">'Соловь~ д.2 стр.п.1-6,14-17 '!$D$7</definedName>
    <definedName name="_117h_E10">'Солов~ д.2 стр.п.7-13 ЖСК Пегас'!$C$8</definedName>
    <definedName name="_117h_E11">'Солов~ д.2 стр.п.7-13 ЖСК Пегас'!$C$9</definedName>
    <definedName name="_117h_E12">'Солов~ д.2 стр.п.7-13 ЖСК Пегас'!$C$10</definedName>
    <definedName name="_117h_E13">'Солов~ д.2 стр.п.7-13 ЖСК Пегас'!$C$11</definedName>
    <definedName name="_117h_E14">'Солов~ д.2 стр.п.7-13 ЖСК Пегас'!$C$12</definedName>
    <definedName name="_117h_E15">'Солов~ д.2 стр.п.7-13 ЖСК Пегас'!$C$13</definedName>
    <definedName name="_117h_E16">'Солов~ д.2 стр.п.7-13 ЖСК Пегас'!$C$14</definedName>
    <definedName name="_117h_E17">'Солов~ д.2 стр.п.7-13 ЖСК Пегас'!$C$15</definedName>
    <definedName name="_117h_E18">'Солов~ д.2 стр.п.7-13 ЖСК Пегас'!$C$16</definedName>
    <definedName name="_117h_E19">'Солов~ д.2 стр.п.7-13 ЖСК Пегас'!$C$17</definedName>
    <definedName name="_117h_E20">'Солов~ д.2 стр.п.7-13 ЖСК Пегас'!$C$18</definedName>
    <definedName name="_117h_E21">'Солов~ д.2 стр.п.7-13 ЖСК Пегас'!$C$19</definedName>
    <definedName name="_117h_E22">'Солов~ д.2 стр.п.7-13 ЖСК Пегас'!$C$20</definedName>
    <definedName name="_117h_E23">'Солов~ д.2 стр.п.7-13 ЖСК Пегас'!$C$21</definedName>
    <definedName name="_117h_E24">'Солов~ д.2 стр.п.7-13 ЖСК Пегас'!$C$22</definedName>
    <definedName name="_117h_E25">'Солов~ д.2 стр.п.7-13 ЖСК Пегас'!$C$23</definedName>
    <definedName name="_117h_E26">'Солов~ д.2 стр.п.7-13 ЖСК Пегас'!$C$24</definedName>
    <definedName name="_117h_E27">'Солов~ д.2 стр.п.7-13 ЖСК Пегас'!$C$25</definedName>
    <definedName name="_117h_E28">'Солов~ д.2 стр.п.7-13 ЖСК Пегас'!$C$26</definedName>
    <definedName name="_117h_E29">'Солов~ д.2 стр.п.7-13 ЖСК Пегас'!$C$27</definedName>
    <definedName name="_117h_E30">'Солов~ д.2 стр.п.7-13 ЖСК Пегас'!$C$28</definedName>
    <definedName name="_117h_E31">'Солов~ д.2 стр.п.7-13 ЖСК Пегас'!$C$29</definedName>
    <definedName name="_117h_E32">'Солов~ д.2 стр.п.7-13 ЖСК Пегас'!$C$30</definedName>
    <definedName name="_117h_E33">'Солов~ д.2 стр.п.7-13 ЖСК Пегас'!$C$31</definedName>
    <definedName name="_117h_E34">'Солов~ д.2 стр.п.7-13 ЖСК Пегас'!$C$32</definedName>
    <definedName name="_117h_E35">'Солов~ д.2 стр.п.7-13 ЖСК Пегас'!$C$33</definedName>
    <definedName name="_117h_E36">'Солов~ д.2 стр.п.7-13 ЖСК Пегас'!$C$34</definedName>
    <definedName name="_117h_E37">'Солов~ д.2 стр.п.7-13 ЖСК Пегас'!$C$35</definedName>
    <definedName name="_117h_E38">'Солов~ д.2 стр.п.7-13 ЖСК Пегас'!$C$36</definedName>
    <definedName name="_117h_E39">'Солов~ д.2 стр.п.7-13 ЖСК Пегас'!$C$37</definedName>
    <definedName name="_117h_E40">'Солов~ д.2 стр.п.7-13 ЖСК Пегас'!$C$38</definedName>
    <definedName name="_117h_E41">'Солов~ д.2 стр.п.7-13 ЖСК Пегас'!$C$39</definedName>
    <definedName name="_117h_E42">'Солов~ д.2 стр.п.7-13 ЖСК Пегас'!$C$40</definedName>
    <definedName name="_117h_E43">'Солов~ д.2 стр.п.7-13 ЖСК Пегас'!$C$41</definedName>
    <definedName name="_117h_E44">'Солов~ д.2 стр.п.7-13 ЖСК Пегас'!$C$42</definedName>
    <definedName name="_117h_E45">'Солов~ д.2 стр.п.7-13 ЖСК Пегас'!$C$43</definedName>
    <definedName name="_117h_E46">'Солов~ д.2 стр.п.7-13 ЖСК Пегас'!$C$44</definedName>
    <definedName name="_117h_E47">'Солов~ д.2 стр.п.7-13 ЖСК Пегас'!$C$45</definedName>
    <definedName name="_117h_E48">'Солов~ д.2 стр.п.7-13 ЖСК Пегас'!$C$46</definedName>
    <definedName name="_117h_E49">'Солов~ д.2 стр.п.7-13 ЖСК Пегас'!$C$47</definedName>
    <definedName name="_117h_E50">'Солов~ д.2 стр.п.7-13 ЖСК Пегас'!$C$48</definedName>
    <definedName name="_117h_E51">'Солов~ д.2 стр.п.7-13 ЖСК Пегас'!$C$49</definedName>
    <definedName name="_117h_E52">'Солов~ д.2 стр.п.7-13 ЖСК Пегас'!#REF!</definedName>
    <definedName name="_117h_E53">'Солов~ д.2 стр.п.7-13 ЖСК Пегас'!$C$50</definedName>
    <definedName name="_117h_E54">'Солов~ д.2 стр.п.7-13 ЖСК Пегас'!$C$51</definedName>
    <definedName name="_117h_E55">'Солов~ д.2 стр.п.7-13 ЖСК Пегас'!$C$52</definedName>
    <definedName name="_117h_E56">'Солов~ д.2 стр.п.7-13 ЖСК Пегас'!$C$53</definedName>
    <definedName name="_117h_E57">'Солов~ д.2 стр.п.7-13 ЖСК Пегас'!$C$54</definedName>
    <definedName name="_117h_E58">'Солов~ д.2 стр.п.7-13 ЖСК Пегас'!$C$55</definedName>
    <definedName name="_117h_E59">'Солов~ д.2 стр.п.7-13 ЖСК Пегас'!$C$56</definedName>
    <definedName name="_117h_E60">'Солов~ д.2 стр.п.7-13 ЖСК Пегас'!$C$57</definedName>
    <definedName name="_117h_E61">'Солов~ д.2 стр.п.7-13 ЖСК Пегас'!$C$58</definedName>
    <definedName name="_117h_E62">'Солов~ д.2 стр.п.7-13 ЖСК Пегас'!$C$59</definedName>
    <definedName name="_117h_E63">'Солов~ д.2 стр.п.7-13 ЖСК Пегас'!#REF!</definedName>
    <definedName name="_117h_E64">'Солов~ д.2 стр.п.7-13 ЖСК Пегас'!$C$60</definedName>
    <definedName name="_117h_E65">'Солов~ д.2 стр.п.7-13 ЖСК Пегас'!$C$61</definedName>
    <definedName name="_117h_E7">'Солов~ д.2 стр.п.7-13 ЖСК Пегас'!$C$5</definedName>
    <definedName name="_117h_E8">'Солов~ д.2 стр.п.7-13 ЖСК Пегас'!$C$6</definedName>
    <definedName name="_117h_E9">'Солов~ д.2 стр.п.7-13 ЖСК Пегас'!$C$7</definedName>
    <definedName name="_117h_F10">'Солов~ д.2 стр.п.7-13 ЖСК Пегас'!$D$8</definedName>
    <definedName name="_117h_F11">'Солов~ д.2 стр.п.7-13 ЖСК Пегас'!$D$9</definedName>
    <definedName name="_117h_F12">'Солов~ д.2 стр.п.7-13 ЖСК Пегас'!$D$10</definedName>
    <definedName name="_117h_F13">'Солов~ д.2 стр.п.7-13 ЖСК Пегас'!$D$11</definedName>
    <definedName name="_117h_F14">'Солов~ д.2 стр.п.7-13 ЖСК Пегас'!$D$12</definedName>
    <definedName name="_117h_F15">'Солов~ д.2 стр.п.7-13 ЖСК Пегас'!$D$13</definedName>
    <definedName name="_117h_F16">'Солов~ д.2 стр.п.7-13 ЖСК Пегас'!$D$14</definedName>
    <definedName name="_117h_F17">'Солов~ д.2 стр.п.7-13 ЖСК Пегас'!$D$15</definedName>
    <definedName name="_117h_F18">'Солов~ д.2 стр.п.7-13 ЖСК Пегас'!$D$16</definedName>
    <definedName name="_117h_F19">'Солов~ д.2 стр.п.7-13 ЖСК Пегас'!$D$17</definedName>
    <definedName name="_117h_F20">'Солов~ д.2 стр.п.7-13 ЖСК Пегас'!$D$18</definedName>
    <definedName name="_117h_F21">'Солов~ д.2 стр.п.7-13 ЖСК Пегас'!$D$19</definedName>
    <definedName name="_117h_F22">'Солов~ д.2 стр.п.7-13 ЖСК Пегас'!$D$20</definedName>
    <definedName name="_117h_F23">'Солов~ д.2 стр.п.7-13 ЖСК Пегас'!$D$21</definedName>
    <definedName name="_117h_F24">'Солов~ д.2 стр.п.7-13 ЖСК Пегас'!$D$22</definedName>
    <definedName name="_117h_F25">'Солов~ д.2 стр.п.7-13 ЖСК Пегас'!$D$23</definedName>
    <definedName name="_117h_F26">'Солов~ д.2 стр.п.7-13 ЖСК Пегас'!$D$24</definedName>
    <definedName name="_117h_F27">'Солов~ д.2 стр.п.7-13 ЖСК Пегас'!$D$25</definedName>
    <definedName name="_117h_F28">'Солов~ д.2 стр.п.7-13 ЖСК Пегас'!$D$26</definedName>
    <definedName name="_117h_F29">'Солов~ д.2 стр.п.7-13 ЖСК Пегас'!$D$27</definedName>
    <definedName name="_117h_F30">'Солов~ д.2 стр.п.7-13 ЖСК Пегас'!$D$28</definedName>
    <definedName name="_117h_F31">'Солов~ д.2 стр.п.7-13 ЖСК Пегас'!$D$29</definedName>
    <definedName name="_117h_F32">'Солов~ д.2 стр.п.7-13 ЖСК Пегас'!$D$30</definedName>
    <definedName name="_117h_F33">'Солов~ д.2 стр.п.7-13 ЖСК Пегас'!$D$31</definedName>
    <definedName name="_117h_F34">'Солов~ д.2 стр.п.7-13 ЖСК Пегас'!$D$32</definedName>
    <definedName name="_117h_F35">'Солов~ д.2 стр.п.7-13 ЖСК Пегас'!$D$33</definedName>
    <definedName name="_117h_F36">'Солов~ д.2 стр.п.7-13 ЖСК Пегас'!$D$34</definedName>
    <definedName name="_117h_F37">'Солов~ д.2 стр.п.7-13 ЖСК Пегас'!$D$35</definedName>
    <definedName name="_117h_F38">'Солов~ д.2 стр.п.7-13 ЖСК Пегас'!$D$36</definedName>
    <definedName name="_117h_F39">'Солов~ д.2 стр.п.7-13 ЖСК Пегас'!$D$37</definedName>
    <definedName name="_117h_F40">'Солов~ д.2 стр.п.7-13 ЖСК Пегас'!$D$38</definedName>
    <definedName name="_117h_F41">'Солов~ д.2 стр.п.7-13 ЖСК Пегас'!$D$39</definedName>
    <definedName name="_117h_F42">'Солов~ д.2 стр.п.7-13 ЖСК Пегас'!$D$40</definedName>
    <definedName name="_117h_F43">'Солов~ д.2 стр.п.7-13 ЖСК Пегас'!$D$41</definedName>
    <definedName name="_117h_F44">'Солов~ д.2 стр.п.7-13 ЖСК Пегас'!$D$42</definedName>
    <definedName name="_117h_F45">'Солов~ д.2 стр.п.7-13 ЖСК Пегас'!$D$43</definedName>
    <definedName name="_117h_F46">'Солов~ д.2 стр.п.7-13 ЖСК Пегас'!$D$44</definedName>
    <definedName name="_117h_F47">'Солов~ д.2 стр.п.7-13 ЖСК Пегас'!$D$45</definedName>
    <definedName name="_117h_F48">'Солов~ д.2 стр.п.7-13 ЖСК Пегас'!$D$46</definedName>
    <definedName name="_117h_F49">'Солов~ д.2 стр.п.7-13 ЖСК Пегас'!$D$47</definedName>
    <definedName name="_117h_F50">'Солов~ д.2 стр.п.7-13 ЖСК Пегас'!$D$48</definedName>
    <definedName name="_117h_F51">'Солов~ д.2 стр.п.7-13 ЖСК Пегас'!$D$49</definedName>
    <definedName name="_117h_F52">'Солов~ д.2 стр.п.7-13 ЖСК Пегас'!#REF!</definedName>
    <definedName name="_117h_F53">'Солов~ д.2 стр.п.7-13 ЖСК Пегас'!$D$50</definedName>
    <definedName name="_117h_F54">'Солов~ д.2 стр.п.7-13 ЖСК Пегас'!$D$51</definedName>
    <definedName name="_117h_F55">'Солов~ д.2 стр.п.7-13 ЖСК Пегас'!$D$52</definedName>
    <definedName name="_117h_F56">'Солов~ д.2 стр.п.7-13 ЖСК Пегас'!$D$53</definedName>
    <definedName name="_117h_F57">'Солов~ д.2 стр.п.7-13 ЖСК Пегас'!$D$54</definedName>
    <definedName name="_117h_F58">'Солов~ д.2 стр.п.7-13 ЖСК Пегас'!$D$55</definedName>
    <definedName name="_117h_F59">'Солов~ д.2 стр.п.7-13 ЖСК Пегас'!$D$56</definedName>
    <definedName name="_117h_F60">'Солов~ д.2 стр.п.7-13 ЖСК Пегас'!$D$57</definedName>
    <definedName name="_117h_F61">'Солов~ д.2 стр.п.7-13 ЖСК Пегас'!$D$58</definedName>
    <definedName name="_117h_F62">'Солов~ д.2 стр.п.7-13 ЖСК Пегас'!$D$59</definedName>
    <definedName name="_117h_F63">'Солов~ д.2 стр.п.7-13 ЖСК Пегас'!#REF!</definedName>
    <definedName name="_117h_F64">'Солов~ д.2 стр.п.7-13 ЖСК Пегас'!$D$60</definedName>
    <definedName name="_117h_F65">'Солов~ д.2 стр.п.7-13 ЖСК Пегас'!$D$61</definedName>
    <definedName name="_117h_F7">'Солов~ д.2 стр.п.7-13 ЖСК Пегас'!$D$5</definedName>
    <definedName name="_117h_F8">'Солов~ д.2 стр.п.7-13 ЖСК Пегас'!$D$6</definedName>
    <definedName name="_117h_F9">'Солов~ д.2 стр.п.7-13 ЖСК Пегас'!$D$7</definedName>
    <definedName name="_118h_E10">'Соловьин~ д.4 к.1 стр.п.1-2'!$C$8</definedName>
    <definedName name="_118h_E11">'Соловьин~ д.4 к.1 стр.п.1-2'!$C$9</definedName>
    <definedName name="_118h_E12">'Соловьин~ д.4 к.1 стр.п.1-2'!$C$10</definedName>
    <definedName name="_118h_E13">'Соловьин~ д.4 к.1 стр.п.1-2'!$C$11</definedName>
    <definedName name="_118h_E14">'Соловьин~ д.4 к.1 стр.п.1-2'!$C$12</definedName>
    <definedName name="_118h_E15">'Соловьин~ д.4 к.1 стр.п.1-2'!$C$13</definedName>
    <definedName name="_118h_E16">'Соловьин~ д.4 к.1 стр.п.1-2'!$C$14</definedName>
    <definedName name="_118h_E17">'Соловьин~ д.4 к.1 стр.п.1-2'!$C$15</definedName>
    <definedName name="_118h_E18">'Соловьин~ д.4 к.1 стр.п.1-2'!$C$16</definedName>
    <definedName name="_118h_E19">'Соловьин~ д.4 к.1 стр.п.1-2'!$C$17</definedName>
    <definedName name="_118h_E20">'Соловьин~ д.4 к.1 стр.п.1-2'!$C$18</definedName>
    <definedName name="_118h_E21">'Соловьин~ д.4 к.1 стр.п.1-2'!$C$19</definedName>
    <definedName name="_118h_E22">'Соловьин~ д.4 к.1 стр.п.1-2'!$C$20</definedName>
    <definedName name="_118h_E23">'Соловьин~ д.4 к.1 стр.п.1-2'!$C$21</definedName>
    <definedName name="_118h_E24">'Соловьин~ д.4 к.1 стр.п.1-2'!$C$22</definedName>
    <definedName name="_118h_E25">'Соловьин~ д.4 к.1 стр.п.1-2'!$C$23</definedName>
    <definedName name="_118h_E26">'Соловьин~ д.4 к.1 стр.п.1-2'!$C$24</definedName>
    <definedName name="_118h_E27">'Соловьин~ д.4 к.1 стр.п.1-2'!$C$25</definedName>
    <definedName name="_118h_E28">'Соловьин~ д.4 к.1 стр.п.1-2'!$C$26</definedName>
    <definedName name="_118h_E29">'Соловьин~ д.4 к.1 стр.п.1-2'!$C$27</definedName>
    <definedName name="_118h_E30">'Соловьин~ д.4 к.1 стр.п.1-2'!$C$28</definedName>
    <definedName name="_118h_E31">'Соловьин~ д.4 к.1 стр.п.1-2'!$C$29</definedName>
    <definedName name="_118h_E32">'Соловьин~ д.4 к.1 стр.п.1-2'!$C$30</definedName>
    <definedName name="_118h_E33">'Соловьин~ д.4 к.1 стр.п.1-2'!$C$31</definedName>
    <definedName name="_118h_E34">'Соловьин~ д.4 к.1 стр.п.1-2'!$C$32</definedName>
    <definedName name="_118h_E35">'Соловьин~ д.4 к.1 стр.п.1-2'!$C$33</definedName>
    <definedName name="_118h_E36">'Соловьин~ д.4 к.1 стр.п.1-2'!$C$34</definedName>
    <definedName name="_118h_E37">'Соловьин~ д.4 к.1 стр.п.1-2'!$C$35</definedName>
    <definedName name="_118h_E38">'Соловьин~ д.4 к.1 стр.п.1-2'!$C$36</definedName>
    <definedName name="_118h_E39">'Соловьин~ д.4 к.1 стр.п.1-2'!$C$37</definedName>
    <definedName name="_118h_E40">'Соловьин~ д.4 к.1 стр.п.1-2'!$C$38</definedName>
    <definedName name="_118h_E41">'Соловьин~ д.4 к.1 стр.п.1-2'!$C$39</definedName>
    <definedName name="_118h_E42">'Соловьин~ д.4 к.1 стр.п.1-2'!$C$40</definedName>
    <definedName name="_118h_E43">'Соловьин~ д.4 к.1 стр.п.1-2'!$C$41</definedName>
    <definedName name="_118h_E44">'Соловьин~ д.4 к.1 стр.п.1-2'!$C$42</definedName>
    <definedName name="_118h_E45">'Соловьин~ д.4 к.1 стр.п.1-2'!$C$43</definedName>
    <definedName name="_118h_E46">'Соловьин~ д.4 к.1 стр.п.1-2'!$C$44</definedName>
    <definedName name="_118h_E47">'Соловьин~ д.4 к.1 стр.п.1-2'!$C$45</definedName>
    <definedName name="_118h_E48">'Соловьин~ д.4 к.1 стр.п.1-2'!$C$46</definedName>
    <definedName name="_118h_E49">'Соловьин~ д.4 к.1 стр.п.1-2'!$C$47</definedName>
    <definedName name="_118h_E50">'Соловьин~ д.4 к.1 стр.п.1-2'!$C$48</definedName>
    <definedName name="_118h_E51">'Соловьин~ д.4 к.1 стр.п.1-2'!$C$49</definedName>
    <definedName name="_118h_E52">'Соловьин~ д.4 к.1 стр.п.1-2'!#REF!</definedName>
    <definedName name="_118h_E53">'Соловьин~ д.4 к.1 стр.п.1-2'!$C$50</definedName>
    <definedName name="_118h_E54">'Соловьин~ д.4 к.1 стр.п.1-2'!$C$51</definedName>
    <definedName name="_118h_E55">'Соловьин~ д.4 к.1 стр.п.1-2'!$C$52</definedName>
    <definedName name="_118h_E56">'Соловьин~ д.4 к.1 стр.п.1-2'!$C$53</definedName>
    <definedName name="_118h_E57">'Соловьин~ д.4 к.1 стр.п.1-2'!$C$54</definedName>
    <definedName name="_118h_E58">'Соловьин~ д.4 к.1 стр.п.1-2'!$C$55</definedName>
    <definedName name="_118h_E59">'Соловьин~ д.4 к.1 стр.п.1-2'!$C$56</definedName>
    <definedName name="_118h_E60">'Соловьин~ д.4 к.1 стр.п.1-2'!$C$57</definedName>
    <definedName name="_118h_E61">'Соловьин~ д.4 к.1 стр.п.1-2'!$C$58</definedName>
    <definedName name="_118h_E62">'Соловьин~ д.4 к.1 стр.п.1-2'!$C$59</definedName>
    <definedName name="_118h_E63">'Соловьин~ д.4 к.1 стр.п.1-2'!#REF!</definedName>
    <definedName name="_118h_E64">'Соловьин~ д.4 к.1 стр.п.1-2'!$C$60</definedName>
    <definedName name="_118h_E65">'Соловьин~ д.4 к.1 стр.п.1-2'!$C$61</definedName>
    <definedName name="_118h_E7">'Соловьин~ д.4 к.1 стр.п.1-2'!$C$5</definedName>
    <definedName name="_118h_E8">'Соловьин~ д.4 к.1 стр.п.1-2'!$C$6</definedName>
    <definedName name="_118h_E9">'Соловьин~ д.4 к.1 стр.п.1-2'!$C$7</definedName>
    <definedName name="_118h_F10">'Соловьин~ д.4 к.1 стр.п.1-2'!$D$8</definedName>
    <definedName name="_118h_F11">'Соловьин~ д.4 к.1 стр.п.1-2'!$D$9</definedName>
    <definedName name="_118h_F12">'Соловьин~ д.4 к.1 стр.п.1-2'!$D$10</definedName>
    <definedName name="_118h_F13">'Соловьин~ д.4 к.1 стр.п.1-2'!$D$11</definedName>
    <definedName name="_118h_F14">'Соловьин~ д.4 к.1 стр.п.1-2'!$D$12</definedName>
    <definedName name="_118h_F15">'Соловьин~ д.4 к.1 стр.п.1-2'!$D$13</definedName>
    <definedName name="_118h_F16">'Соловьин~ д.4 к.1 стр.п.1-2'!$D$14</definedName>
    <definedName name="_118h_F17">'Соловьин~ д.4 к.1 стр.п.1-2'!$D$15</definedName>
    <definedName name="_118h_F18">'Соловьин~ д.4 к.1 стр.п.1-2'!$D$16</definedName>
    <definedName name="_118h_F19">'Соловьин~ д.4 к.1 стр.п.1-2'!$D$17</definedName>
    <definedName name="_118h_F20">'Соловьин~ д.4 к.1 стр.п.1-2'!$D$18</definedName>
    <definedName name="_118h_F21">'Соловьин~ д.4 к.1 стр.п.1-2'!$D$19</definedName>
    <definedName name="_118h_F22">'Соловьин~ д.4 к.1 стр.п.1-2'!$D$20</definedName>
    <definedName name="_118h_F23">'Соловьин~ д.4 к.1 стр.п.1-2'!$D$21</definedName>
    <definedName name="_118h_F24">'Соловьин~ д.4 к.1 стр.п.1-2'!$D$22</definedName>
    <definedName name="_118h_F25">'Соловьин~ д.4 к.1 стр.п.1-2'!$D$23</definedName>
    <definedName name="_118h_F26">'Соловьин~ д.4 к.1 стр.п.1-2'!$D$24</definedName>
    <definedName name="_118h_F27">'Соловьин~ д.4 к.1 стр.п.1-2'!$D$25</definedName>
    <definedName name="_118h_F28">'Соловьин~ д.4 к.1 стр.п.1-2'!$D$26</definedName>
    <definedName name="_118h_F29">'Соловьин~ д.4 к.1 стр.п.1-2'!$D$27</definedName>
    <definedName name="_118h_F30">'Соловьин~ д.4 к.1 стр.п.1-2'!$D$28</definedName>
    <definedName name="_118h_F31">'Соловьин~ д.4 к.1 стр.п.1-2'!$D$29</definedName>
    <definedName name="_118h_F32">'Соловьин~ д.4 к.1 стр.п.1-2'!$D$30</definedName>
    <definedName name="_118h_F33">'Соловьин~ д.4 к.1 стр.п.1-2'!$D$31</definedName>
    <definedName name="_118h_F34">'Соловьин~ д.4 к.1 стр.п.1-2'!$D$32</definedName>
    <definedName name="_118h_F35">'Соловьин~ д.4 к.1 стр.п.1-2'!$D$33</definedName>
    <definedName name="_118h_F36">'Соловьин~ д.4 к.1 стр.п.1-2'!$D$34</definedName>
    <definedName name="_118h_F37">'Соловьин~ д.4 к.1 стр.п.1-2'!$D$35</definedName>
    <definedName name="_118h_F38">'Соловьин~ д.4 к.1 стр.п.1-2'!$D$36</definedName>
    <definedName name="_118h_F39">'Соловьин~ д.4 к.1 стр.п.1-2'!$D$37</definedName>
    <definedName name="_118h_F40">'Соловьин~ д.4 к.1 стр.п.1-2'!$D$38</definedName>
    <definedName name="_118h_F41">'Соловьин~ д.4 к.1 стр.п.1-2'!$D$39</definedName>
    <definedName name="_118h_F42">'Соловьин~ д.4 к.1 стр.п.1-2'!$D$40</definedName>
    <definedName name="_118h_F43">'Соловьин~ д.4 к.1 стр.п.1-2'!$D$41</definedName>
    <definedName name="_118h_F44">'Соловьин~ д.4 к.1 стр.п.1-2'!$D$42</definedName>
    <definedName name="_118h_F45">'Соловьин~ д.4 к.1 стр.п.1-2'!$D$43</definedName>
    <definedName name="_118h_F46">'Соловьин~ д.4 к.1 стр.п.1-2'!$D$44</definedName>
    <definedName name="_118h_F47">'Соловьин~ д.4 к.1 стр.п.1-2'!$D$45</definedName>
    <definedName name="_118h_F48">'Соловьин~ д.4 к.1 стр.п.1-2'!$D$46</definedName>
    <definedName name="_118h_F49">'Соловьин~ д.4 к.1 стр.п.1-2'!$D$47</definedName>
    <definedName name="_118h_F50">'Соловьин~ д.4 к.1 стр.п.1-2'!$D$48</definedName>
    <definedName name="_118h_F51">'Соловьин~ д.4 к.1 стр.п.1-2'!$D$49</definedName>
    <definedName name="_118h_F52">'Соловьин~ д.4 к.1 стр.п.1-2'!#REF!</definedName>
    <definedName name="_118h_F53">'Соловьин~ д.4 к.1 стр.п.1-2'!$D$50</definedName>
    <definedName name="_118h_F54">'Соловьин~ д.4 к.1 стр.п.1-2'!$D$51</definedName>
    <definedName name="_118h_F55">'Соловьин~ д.4 к.1 стр.п.1-2'!$D$52</definedName>
    <definedName name="_118h_F56">'Соловьин~ д.4 к.1 стр.п.1-2'!$D$53</definedName>
    <definedName name="_118h_F57">'Соловьин~ д.4 к.1 стр.п.1-2'!$D$54</definedName>
    <definedName name="_118h_F58">'Соловьин~ д.4 к.1 стр.п.1-2'!$D$55</definedName>
    <definedName name="_118h_F59">'Соловьин~ д.4 к.1 стр.п.1-2'!$D$56</definedName>
    <definedName name="_118h_F60">'Соловьин~ д.4 к.1 стр.п.1-2'!$D$57</definedName>
    <definedName name="_118h_F61">'Соловьин~ д.4 к.1 стр.п.1-2'!$D$58</definedName>
    <definedName name="_118h_F62">'Соловьин~ д.4 к.1 стр.п.1-2'!$D$59</definedName>
    <definedName name="_118h_F63">'Соловьин~ д.4 к.1 стр.п.1-2'!#REF!</definedName>
    <definedName name="_118h_F64">'Соловьин~ д.4 к.1 стр.п.1-2'!$D$60</definedName>
    <definedName name="_118h_F65">'Соловьин~ д.4 к.1 стр.п.1-2'!$D$61</definedName>
    <definedName name="_118h_F7">'Соловьин~ д.4 к.1 стр.п.1-2'!$D$5</definedName>
    <definedName name="_118h_F8">'Соловьин~ д.4 к.1 стр.п.1-2'!$D$6</definedName>
    <definedName name="_118h_F9">'Соловьин~ д.4 к.1 стр.п.1-2'!$D$7</definedName>
    <definedName name="_119h_E10">'Соловьиный пр-д д.6'!$C$8</definedName>
    <definedName name="_119h_E11">'Соловьиный пр-д д.6'!$C$9</definedName>
    <definedName name="_119h_E12">'Соловьиный пр-д д.6'!$C$10</definedName>
    <definedName name="_119h_E13">'Соловьиный пр-д д.6'!$C$11</definedName>
    <definedName name="_119h_E14">'Соловьиный пр-д д.6'!$C$12</definedName>
    <definedName name="_119h_E15">'Соловьиный пр-д д.6'!$C$13</definedName>
    <definedName name="_119h_E16">'Соловьиный пр-д д.6'!$C$14</definedName>
    <definedName name="_119h_E17">'Соловьиный пр-д д.6'!$C$15</definedName>
    <definedName name="_119h_E18">'Соловьиный пр-д д.6'!$C$16</definedName>
    <definedName name="_119h_E19">'Соловьиный пр-д д.6'!$C$17</definedName>
    <definedName name="_119h_E20">'Соловьиный пр-д д.6'!$C$18</definedName>
    <definedName name="_119h_E21">'Соловьиный пр-д д.6'!$C$19</definedName>
    <definedName name="_119h_E22">'Соловьиный пр-д д.6'!$C$20</definedName>
    <definedName name="_119h_E23">'Соловьиный пр-д д.6'!$C$21</definedName>
    <definedName name="_119h_E24">'Соловьиный пр-д д.6'!$C$22</definedName>
    <definedName name="_119h_E25">'Соловьиный пр-д д.6'!$C$23</definedName>
    <definedName name="_119h_E26">'Соловьиный пр-д д.6'!$C$24</definedName>
    <definedName name="_119h_E27">'Соловьиный пр-д д.6'!$C$25</definedName>
    <definedName name="_119h_E28">'Соловьиный пр-д д.6'!$C$26</definedName>
    <definedName name="_119h_E29">'Соловьиный пр-д д.6'!$C$27</definedName>
    <definedName name="_119h_E30">'Соловьиный пр-д д.6'!$C$28</definedName>
    <definedName name="_119h_E31">'Соловьиный пр-д д.6'!$C$29</definedName>
    <definedName name="_119h_E32">'Соловьиный пр-д д.6'!$C$30</definedName>
    <definedName name="_119h_E33">'Соловьиный пр-д д.6'!$C$31</definedName>
    <definedName name="_119h_E34">'Соловьиный пр-д д.6'!$C$32</definedName>
    <definedName name="_119h_E35">'Соловьиный пр-д д.6'!$C$33</definedName>
    <definedName name="_119h_E36">'Соловьиный пр-д д.6'!$C$34</definedName>
    <definedName name="_119h_E37">'Соловьиный пр-д д.6'!$C$35</definedName>
    <definedName name="_119h_E38">'Соловьиный пр-д д.6'!$C$36</definedName>
    <definedName name="_119h_E39">'Соловьиный пр-д д.6'!$C$37</definedName>
    <definedName name="_119h_E40">'Соловьиный пр-д д.6'!$C$38</definedName>
    <definedName name="_119h_E41">'Соловьиный пр-д д.6'!$C$39</definedName>
    <definedName name="_119h_E42">'Соловьиный пр-д д.6'!$C$40</definedName>
    <definedName name="_119h_E43">'Соловьиный пр-д д.6'!$C$41</definedName>
    <definedName name="_119h_E44">'Соловьиный пр-д д.6'!$C$42</definedName>
    <definedName name="_119h_E45">'Соловьиный пр-д д.6'!$C$43</definedName>
    <definedName name="_119h_E46">'Соловьиный пр-д д.6'!$C$44</definedName>
    <definedName name="_119h_E47">'Соловьиный пр-д д.6'!$C$45</definedName>
    <definedName name="_119h_E48">'Соловьиный пр-д д.6'!$C$46</definedName>
    <definedName name="_119h_E49">'Соловьиный пр-д д.6'!$C$47</definedName>
    <definedName name="_119h_E50">'Соловьиный пр-д д.6'!$C$48</definedName>
    <definedName name="_119h_E51">'Соловьиный пр-д д.6'!$C$49</definedName>
    <definedName name="_119h_E52">'Соловьиный пр-д д.6'!#REF!</definedName>
    <definedName name="_119h_E53">'Соловьиный пр-д д.6'!$C$50</definedName>
    <definedName name="_119h_E54">'Соловьиный пр-д д.6'!$C$51</definedName>
    <definedName name="_119h_E55">'Соловьиный пр-д д.6'!$C$52</definedName>
    <definedName name="_119h_E56">'Соловьиный пр-д д.6'!$C$53</definedName>
    <definedName name="_119h_E57">'Соловьиный пр-д д.6'!$C$54</definedName>
    <definedName name="_119h_E58">'Соловьиный пр-д д.6'!$C$55</definedName>
    <definedName name="_119h_E59">'Соловьиный пр-д д.6'!$C$56</definedName>
    <definedName name="_119h_E60">'Соловьиный пр-д д.6'!$C$57</definedName>
    <definedName name="_119h_E61">'Соловьиный пр-д д.6'!$C$58</definedName>
    <definedName name="_119h_E62">'Соловьиный пр-д д.6'!$C$59</definedName>
    <definedName name="_119h_E63">'Соловьиный пр-д д.6'!#REF!</definedName>
    <definedName name="_119h_E64">'Соловьиный пр-д д.6'!$C$60</definedName>
    <definedName name="_119h_E65">'Соловьиный пр-д д.6'!$C$61</definedName>
    <definedName name="_119h_E7">'Соловьиный пр-д д.6'!$C$5</definedName>
    <definedName name="_119h_E8">'Соловьиный пр-д д.6'!$C$6</definedName>
    <definedName name="_119h_E9">'Соловьиный пр-д д.6'!$C$7</definedName>
    <definedName name="_119h_F10">'Соловьиный пр-д д.6'!$D$8</definedName>
    <definedName name="_119h_F11">'Соловьиный пр-д д.6'!$D$9</definedName>
    <definedName name="_119h_F12">'Соловьиный пр-д д.6'!$D$10</definedName>
    <definedName name="_119h_F13">'Соловьиный пр-д д.6'!$D$11</definedName>
    <definedName name="_119h_F14">'Соловьиный пр-д д.6'!$D$12</definedName>
    <definedName name="_119h_F15">'Соловьиный пр-д д.6'!$D$13</definedName>
    <definedName name="_119h_F16">'Соловьиный пр-д д.6'!$D$14</definedName>
    <definedName name="_119h_F17">'Соловьиный пр-д д.6'!$D$15</definedName>
    <definedName name="_119h_F18">'Соловьиный пр-д д.6'!$D$16</definedName>
    <definedName name="_119h_F19">'Соловьиный пр-д д.6'!$D$17</definedName>
    <definedName name="_119h_F20">'Соловьиный пр-д д.6'!$D$18</definedName>
    <definedName name="_119h_F21">'Соловьиный пр-д д.6'!$D$19</definedName>
    <definedName name="_119h_F22">'Соловьиный пр-д д.6'!$D$20</definedName>
    <definedName name="_119h_F23">'Соловьиный пр-д д.6'!$D$21</definedName>
    <definedName name="_119h_F24">'Соловьиный пр-д д.6'!$D$22</definedName>
    <definedName name="_119h_F25">'Соловьиный пр-д д.6'!$D$23</definedName>
    <definedName name="_119h_F26">'Соловьиный пр-д д.6'!$D$24</definedName>
    <definedName name="_119h_F27">'Соловьиный пр-д д.6'!$D$25</definedName>
    <definedName name="_119h_F28">'Соловьиный пр-д д.6'!$D$26</definedName>
    <definedName name="_119h_F29">'Соловьиный пр-д д.6'!$D$27</definedName>
    <definedName name="_119h_F30">'Соловьиный пр-д д.6'!$D$28</definedName>
    <definedName name="_119h_F31">'Соловьиный пр-д д.6'!$D$29</definedName>
    <definedName name="_119h_F32">'Соловьиный пр-д д.6'!$D$30</definedName>
    <definedName name="_119h_F33">'Соловьиный пр-д д.6'!$D$31</definedName>
    <definedName name="_119h_F34">'Соловьиный пр-д д.6'!$D$32</definedName>
    <definedName name="_119h_F35">'Соловьиный пр-д д.6'!$D$33</definedName>
    <definedName name="_119h_F36">'Соловьиный пр-д д.6'!$D$34</definedName>
    <definedName name="_119h_F37">'Соловьиный пр-д д.6'!$D$35</definedName>
    <definedName name="_119h_F38">'Соловьиный пр-д д.6'!$D$36</definedName>
    <definedName name="_119h_F39">'Соловьиный пр-д д.6'!$D$37</definedName>
    <definedName name="_119h_F40">'Соловьиный пр-д д.6'!$D$38</definedName>
    <definedName name="_119h_F41">'Соловьиный пр-д д.6'!$D$39</definedName>
    <definedName name="_119h_F42">'Соловьиный пр-д д.6'!$D$40</definedName>
    <definedName name="_119h_F43">'Соловьиный пр-д д.6'!$D$41</definedName>
    <definedName name="_119h_F44">'Соловьиный пр-д д.6'!$D$42</definedName>
    <definedName name="_119h_F45">'Соловьиный пр-д д.6'!$D$43</definedName>
    <definedName name="_119h_F46">'Соловьиный пр-д д.6'!$D$44</definedName>
    <definedName name="_119h_F47">'Соловьиный пр-д д.6'!$D$45</definedName>
    <definedName name="_119h_F48">'Соловьиный пр-д д.6'!$D$46</definedName>
    <definedName name="_119h_F49">'Соловьиный пр-д д.6'!$D$47</definedName>
    <definedName name="_119h_F50">'Соловьиный пр-д д.6'!$D$48</definedName>
    <definedName name="_119h_F51">'Соловьиный пр-д д.6'!$D$49</definedName>
    <definedName name="_119h_F52">'Соловьиный пр-д д.6'!#REF!</definedName>
    <definedName name="_119h_F53">'Соловьиный пр-д д.6'!$D$50</definedName>
    <definedName name="_119h_F54">'Соловьиный пр-д д.6'!$D$51</definedName>
    <definedName name="_119h_F55">'Соловьиный пр-д д.6'!$D$52</definedName>
    <definedName name="_119h_F56">'Соловьиный пр-д д.6'!$D$53</definedName>
    <definedName name="_119h_F57">'Соловьиный пр-д д.6'!$D$54</definedName>
    <definedName name="_119h_F58">'Соловьиный пр-д д.6'!$D$55</definedName>
    <definedName name="_119h_F59">'Соловьиный пр-д д.6'!$D$56</definedName>
    <definedName name="_119h_F60">'Соловьиный пр-д д.6'!$D$57</definedName>
    <definedName name="_119h_F61">'Соловьиный пр-д д.6'!$D$58</definedName>
    <definedName name="_119h_F62">'Соловьиный пр-д д.6'!$D$59</definedName>
    <definedName name="_119h_F63">'Соловьиный пр-д д.6'!#REF!</definedName>
    <definedName name="_119h_F64">'Соловьиный пр-д д.6'!$D$60</definedName>
    <definedName name="_119h_F65">'Соловьиный пр-д д.6'!$D$61</definedName>
    <definedName name="_119h_F7">'Соловьиный пр-д д.6'!$D$5</definedName>
    <definedName name="_119h_F8">'Соловьиный пр-д д.6'!$D$6</definedName>
    <definedName name="_119h_F9">'Соловьиный пр-д д.6'!$D$7</definedName>
    <definedName name="_11h_E10">'Вильнюсская д.15'!$C$8</definedName>
    <definedName name="_11h_E11">'Вильнюсская д.15'!$C$9</definedName>
    <definedName name="_11h_E12">'Вильнюсская д.15'!$C$10</definedName>
    <definedName name="_11h_E13">'Вильнюсская д.15'!$C$11</definedName>
    <definedName name="_11h_E14">'Вильнюсская д.15'!$C$12</definedName>
    <definedName name="_11h_E15">'Вильнюсская д.15'!$C$13</definedName>
    <definedName name="_11h_E16">'Вильнюсская д.15'!$C$14</definedName>
    <definedName name="_11h_E17">'Вильнюсская д.15'!$C$15</definedName>
    <definedName name="_11h_E18">'Вильнюсская д.15'!$C$16</definedName>
    <definedName name="_11h_E19">'Вильнюсская д.15'!$C$17</definedName>
    <definedName name="_11h_E20">'Вильнюсская д.15'!$C$18</definedName>
    <definedName name="_11h_E21">'Вильнюсская д.15'!$C$19</definedName>
    <definedName name="_11h_E22">'Вильнюсская д.15'!$C$20</definedName>
    <definedName name="_11h_E23">'Вильнюсская д.15'!$C$21</definedName>
    <definedName name="_11h_E24">'Вильнюсская д.15'!$C$22</definedName>
    <definedName name="_11h_E25">'Вильнюсская д.15'!$C$23</definedName>
    <definedName name="_11h_E26">'Вильнюсская д.15'!$C$24</definedName>
    <definedName name="_11h_E27">'Вильнюсская д.15'!$C$25</definedName>
    <definedName name="_11h_E28">'Вильнюсская д.15'!$C$26</definedName>
    <definedName name="_11h_E29">'Вильнюсская д.15'!$C$27</definedName>
    <definedName name="_11h_E30">'Вильнюсская д.15'!$C$28</definedName>
    <definedName name="_11h_E31">'Вильнюсская д.15'!$C$29</definedName>
    <definedName name="_11h_E32">'Вильнюсская д.15'!$C$30</definedName>
    <definedName name="_11h_E33">'Вильнюсская д.15'!$C$31</definedName>
    <definedName name="_11h_E34">'Вильнюсская д.15'!$C$32</definedName>
    <definedName name="_11h_E35">'Вильнюсская д.15'!$C$33</definedName>
    <definedName name="_11h_E36">'Вильнюсская д.15'!$C$34</definedName>
    <definedName name="_11h_E37">'Вильнюсская д.15'!$C$35</definedName>
    <definedName name="_11h_E38">'Вильнюсская д.15'!$C$36</definedName>
    <definedName name="_11h_E39">'Вильнюсская д.15'!$C$37</definedName>
    <definedName name="_11h_E40">'Вильнюсская д.15'!$C$38</definedName>
    <definedName name="_11h_E41">'Вильнюсская д.15'!$C$39</definedName>
    <definedName name="_11h_E42">'Вильнюсская д.15'!$C$40</definedName>
    <definedName name="_11h_E43">'Вильнюсская д.15'!$C$41</definedName>
    <definedName name="_11h_E44">'Вильнюсская д.15'!$C$42</definedName>
    <definedName name="_11h_E45">'Вильнюсская д.15'!$C$43</definedName>
    <definedName name="_11h_E46">'Вильнюсская д.15'!$C$44</definedName>
    <definedName name="_11h_E47">'Вильнюсская д.15'!$C$45</definedName>
    <definedName name="_11h_E48">'Вильнюсская д.15'!$C$46</definedName>
    <definedName name="_11h_E49">'Вильнюсская д.15'!$C$47</definedName>
    <definedName name="_11h_E50">'Вильнюсская д.15'!$C$48</definedName>
    <definedName name="_11h_E51">'Вильнюсская д.15'!$C$49</definedName>
    <definedName name="_11h_E52">'Вильнюсская д.15'!#REF!</definedName>
    <definedName name="_11h_E53">'Вильнюсская д.15'!$C$50</definedName>
    <definedName name="_11h_E54">'Вильнюсская д.15'!$C$51</definedName>
    <definedName name="_11h_E55">'Вильнюсская д.15'!$C$52</definedName>
    <definedName name="_11h_E56">'Вильнюсская д.15'!$C$53</definedName>
    <definedName name="_11h_E57">'Вильнюсская д.15'!$C$54</definedName>
    <definedName name="_11h_E58">'Вильнюсская д.15'!$C$55</definedName>
    <definedName name="_11h_E59">'Вильнюсская д.15'!$C$56</definedName>
    <definedName name="_11h_E60">'Вильнюсская д.15'!$C$57</definedName>
    <definedName name="_11h_E61">'Вильнюсская д.15'!$C$58</definedName>
    <definedName name="_11h_E62">'Вильнюсская д.15'!$C$59</definedName>
    <definedName name="_11h_E63">'Вильнюсская д.15'!#REF!</definedName>
    <definedName name="_11h_E64">'Вильнюсская д.15'!$C$60</definedName>
    <definedName name="_11h_E65">'Вильнюсская д.15'!$C$61</definedName>
    <definedName name="_11h_E7">'Вильнюсская д.15'!$C$5</definedName>
    <definedName name="_11h_E8">'Вильнюсская д.15'!$C$6</definedName>
    <definedName name="_11h_E9">'Вильнюсская д.15'!$C$7</definedName>
    <definedName name="_11h_F10">'Вильнюсская д.15'!$D$8</definedName>
    <definedName name="_11h_F11">'Вильнюсская д.15'!$D$9</definedName>
    <definedName name="_11h_F12">'Вильнюсская д.15'!$D$10</definedName>
    <definedName name="_11h_F13">'Вильнюсская д.15'!$D$11</definedName>
    <definedName name="_11h_F14">'Вильнюсская д.15'!$D$12</definedName>
    <definedName name="_11h_F15">'Вильнюсская д.15'!$D$13</definedName>
    <definedName name="_11h_F16">'Вильнюсская д.15'!$D$14</definedName>
    <definedName name="_11h_F17">'Вильнюсская д.15'!$D$15</definedName>
    <definedName name="_11h_F18">'Вильнюсская д.15'!$D$16</definedName>
    <definedName name="_11h_F19">'Вильнюсская д.15'!$D$17</definedName>
    <definedName name="_11h_F20">'Вильнюсская д.15'!$D$18</definedName>
    <definedName name="_11h_F21">'Вильнюсская д.15'!$D$19</definedName>
    <definedName name="_11h_F22">'Вильнюсская д.15'!$D$20</definedName>
    <definedName name="_11h_F23">'Вильнюсская д.15'!$D$21</definedName>
    <definedName name="_11h_F24">'Вильнюсская д.15'!$D$22</definedName>
    <definedName name="_11h_F25">'Вильнюсская д.15'!$D$23</definedName>
    <definedName name="_11h_F26">'Вильнюсская д.15'!$D$24</definedName>
    <definedName name="_11h_F27">'Вильнюсская д.15'!$D$25</definedName>
    <definedName name="_11h_F28">'Вильнюсская д.15'!$D$26</definedName>
    <definedName name="_11h_F29">'Вильнюсская д.15'!$D$27</definedName>
    <definedName name="_11h_F30">'Вильнюсская д.15'!$D$28</definedName>
    <definedName name="_11h_F31">'Вильнюсская д.15'!$D$29</definedName>
    <definedName name="_11h_F32">'Вильнюсская д.15'!$D$30</definedName>
    <definedName name="_11h_F33">'Вильнюсская д.15'!$D$31</definedName>
    <definedName name="_11h_F34">'Вильнюсская д.15'!$D$32</definedName>
    <definedName name="_11h_F35">'Вильнюсская д.15'!$D$33</definedName>
    <definedName name="_11h_F36">'Вильнюсская д.15'!$D$34</definedName>
    <definedName name="_11h_F37">'Вильнюсская д.15'!$D$35</definedName>
    <definedName name="_11h_F38">'Вильнюсская д.15'!$D$36</definedName>
    <definedName name="_11h_F39">'Вильнюсская д.15'!$D$37</definedName>
    <definedName name="_11h_F40">'Вильнюсская д.15'!$D$38</definedName>
    <definedName name="_11h_F41">'Вильнюсская д.15'!$D$39</definedName>
    <definedName name="_11h_F42">'Вильнюсская д.15'!$D$40</definedName>
    <definedName name="_11h_F43">'Вильнюсская д.15'!$D$41</definedName>
    <definedName name="_11h_F44">'Вильнюсская д.15'!$D$42</definedName>
    <definedName name="_11h_F45">'Вильнюсская д.15'!$D$43</definedName>
    <definedName name="_11h_F46">'Вильнюсская д.15'!$D$44</definedName>
    <definedName name="_11h_F47">'Вильнюсская д.15'!$D$45</definedName>
    <definedName name="_11h_F48">'Вильнюсская д.15'!$D$46</definedName>
    <definedName name="_11h_F49">'Вильнюсская д.15'!$D$47</definedName>
    <definedName name="_11h_F50">'Вильнюсская д.15'!$D$48</definedName>
    <definedName name="_11h_F51">'Вильнюсская д.15'!$D$49</definedName>
    <definedName name="_11h_F52">'Вильнюсская д.15'!#REF!</definedName>
    <definedName name="_11h_F53">'Вильнюсская д.15'!$D$50</definedName>
    <definedName name="_11h_F54">'Вильнюсская д.15'!$D$51</definedName>
    <definedName name="_11h_F55">'Вильнюсская д.15'!$D$52</definedName>
    <definedName name="_11h_F56">'Вильнюсская д.15'!$D$53</definedName>
    <definedName name="_11h_F57">'Вильнюсская д.15'!$D$54</definedName>
    <definedName name="_11h_F58">'Вильнюсская д.15'!$D$55</definedName>
    <definedName name="_11h_F59">'Вильнюсская д.15'!$D$56</definedName>
    <definedName name="_11h_F60">'Вильнюсская д.15'!$D$57</definedName>
    <definedName name="_11h_F61">'Вильнюсская д.15'!$D$58</definedName>
    <definedName name="_11h_F62">'Вильнюсская д.15'!$D$59</definedName>
    <definedName name="_11h_F63">'Вильнюсская д.15'!#REF!</definedName>
    <definedName name="_11h_F64">'Вильнюсская д.15'!$D$60</definedName>
    <definedName name="_11h_F65">'Вильнюсская д.15'!$D$61</definedName>
    <definedName name="_11h_F7">'Вильнюсская д.15'!$D$5</definedName>
    <definedName name="_11h_F8">'Вильнюсская д.15'!$D$6</definedName>
    <definedName name="_11h_F9">'Вильнюсская д.15'!$D$7</definedName>
    <definedName name="_120h_E10">'Соловьиный пр-д д.8'!$C$8</definedName>
    <definedName name="_120h_E11">'Соловьиный пр-д д.8'!$C$9</definedName>
    <definedName name="_120h_E12">'Соловьиный пр-д д.8'!$C$10</definedName>
    <definedName name="_120h_E13">'Соловьиный пр-д д.8'!$C$11</definedName>
    <definedName name="_120h_E14">'Соловьиный пр-д д.8'!$C$12</definedName>
    <definedName name="_120h_E15">'Соловьиный пр-д д.8'!$C$13</definedName>
    <definedName name="_120h_E16">'Соловьиный пр-д д.8'!$C$14</definedName>
    <definedName name="_120h_E17">'Соловьиный пр-д д.8'!$C$15</definedName>
    <definedName name="_120h_E18">'Соловьиный пр-д д.8'!$C$16</definedName>
    <definedName name="_120h_E19">'Соловьиный пр-д д.8'!$C$17</definedName>
    <definedName name="_120h_E20">'Соловьиный пр-д д.8'!$C$18</definedName>
    <definedName name="_120h_E21">'Соловьиный пр-д д.8'!$C$19</definedName>
    <definedName name="_120h_E22">'Соловьиный пр-д д.8'!$C$20</definedName>
    <definedName name="_120h_E23">'Соловьиный пр-д д.8'!$C$21</definedName>
    <definedName name="_120h_E24">'Соловьиный пр-д д.8'!$C$22</definedName>
    <definedName name="_120h_E25">'Соловьиный пр-д д.8'!$C$23</definedName>
    <definedName name="_120h_E26">'Соловьиный пр-д д.8'!$C$24</definedName>
    <definedName name="_120h_E27">'Соловьиный пр-д д.8'!$C$25</definedName>
    <definedName name="_120h_E28">'Соловьиный пр-д д.8'!$C$26</definedName>
    <definedName name="_120h_E29">'Соловьиный пр-д д.8'!$C$27</definedName>
    <definedName name="_120h_E30">'Соловьиный пр-д д.8'!$C$28</definedName>
    <definedName name="_120h_E31">'Соловьиный пр-д д.8'!$C$29</definedName>
    <definedName name="_120h_E32">'Соловьиный пр-д д.8'!$C$30</definedName>
    <definedName name="_120h_E33">'Соловьиный пр-д д.8'!$C$31</definedName>
    <definedName name="_120h_E34">'Соловьиный пр-д д.8'!$C$32</definedName>
    <definedName name="_120h_E35">'Соловьиный пр-д д.8'!$C$33</definedName>
    <definedName name="_120h_E36">'Соловьиный пр-д д.8'!$C$34</definedName>
    <definedName name="_120h_E37">'Соловьиный пр-д д.8'!$C$35</definedName>
    <definedName name="_120h_E38">'Соловьиный пр-д д.8'!$C$36</definedName>
    <definedName name="_120h_E39">'Соловьиный пр-д д.8'!$C$37</definedName>
    <definedName name="_120h_E40">'Соловьиный пр-д д.8'!$C$38</definedName>
    <definedName name="_120h_E41">'Соловьиный пр-д д.8'!$C$39</definedName>
    <definedName name="_120h_E42">'Соловьиный пр-д д.8'!$C$40</definedName>
    <definedName name="_120h_E43">'Соловьиный пр-д д.8'!$C$41</definedName>
    <definedName name="_120h_E44">'Соловьиный пр-д д.8'!$C$42</definedName>
    <definedName name="_120h_E45">'Соловьиный пр-д д.8'!$C$43</definedName>
    <definedName name="_120h_E46">'Соловьиный пр-д д.8'!$C$44</definedName>
    <definedName name="_120h_E47">'Соловьиный пр-д д.8'!$C$45</definedName>
    <definedName name="_120h_E48">'Соловьиный пр-д д.8'!$C$46</definedName>
    <definedName name="_120h_E49">'Соловьиный пр-д д.8'!$C$47</definedName>
    <definedName name="_120h_E50">'Соловьиный пр-д д.8'!$C$48</definedName>
    <definedName name="_120h_E51">'Соловьиный пр-д д.8'!$C$49</definedName>
    <definedName name="_120h_E52">'Соловьиный пр-д д.8'!#REF!</definedName>
    <definedName name="_120h_E53">'Соловьиный пр-д д.8'!$C$50</definedName>
    <definedName name="_120h_E54">'Соловьиный пр-д д.8'!$C$51</definedName>
    <definedName name="_120h_E55">'Соловьиный пр-д д.8'!$C$52</definedName>
    <definedName name="_120h_E56">'Соловьиный пр-д д.8'!$C$53</definedName>
    <definedName name="_120h_E57">'Соловьиный пр-д д.8'!$C$54</definedName>
    <definedName name="_120h_E58">'Соловьиный пр-д д.8'!$C$55</definedName>
    <definedName name="_120h_E59">'Соловьиный пр-д д.8'!$C$56</definedName>
    <definedName name="_120h_E60">'Соловьиный пр-д д.8'!$C$57</definedName>
    <definedName name="_120h_E61">'Соловьиный пр-д д.8'!$C$58</definedName>
    <definedName name="_120h_E62">'Соловьиный пр-д д.8'!$C$59</definedName>
    <definedName name="_120h_E63">'Соловьиный пр-д д.8'!#REF!</definedName>
    <definedName name="_120h_E64">'Соловьиный пр-д д.8'!$C$60</definedName>
    <definedName name="_120h_E65">'Соловьиный пр-д д.8'!$C$61</definedName>
    <definedName name="_120h_E7">'Соловьиный пр-д д.8'!$C$5</definedName>
    <definedName name="_120h_E8">'Соловьиный пр-д д.8'!$C$6</definedName>
    <definedName name="_120h_E9">'Соловьиный пр-д д.8'!$C$7</definedName>
    <definedName name="_120h_F10">'Соловьиный пр-д д.8'!$D$8</definedName>
    <definedName name="_120h_F11">'Соловьиный пр-д д.8'!$D$9</definedName>
    <definedName name="_120h_F12">'Соловьиный пр-д д.8'!$D$10</definedName>
    <definedName name="_120h_F13">'Соловьиный пр-д д.8'!$D$11</definedName>
    <definedName name="_120h_F14">'Соловьиный пр-д д.8'!$D$12</definedName>
    <definedName name="_120h_F15">'Соловьиный пр-д д.8'!$D$13</definedName>
    <definedName name="_120h_F16">'Соловьиный пр-д д.8'!$D$14</definedName>
    <definedName name="_120h_F17">'Соловьиный пр-д д.8'!$D$15</definedName>
    <definedName name="_120h_F18">'Соловьиный пр-д д.8'!$D$16</definedName>
    <definedName name="_120h_F19">'Соловьиный пр-д д.8'!$D$17</definedName>
    <definedName name="_120h_F20">'Соловьиный пр-д д.8'!$D$18</definedName>
    <definedName name="_120h_F21">'Соловьиный пр-д д.8'!$D$19</definedName>
    <definedName name="_120h_F22">'Соловьиный пр-д д.8'!$D$20</definedName>
    <definedName name="_120h_F23">'Соловьиный пр-д д.8'!$D$21</definedName>
    <definedName name="_120h_F24">'Соловьиный пр-д д.8'!$D$22</definedName>
    <definedName name="_120h_F25">'Соловьиный пр-д д.8'!$D$23</definedName>
    <definedName name="_120h_F26">'Соловьиный пр-д д.8'!$D$24</definedName>
    <definedName name="_120h_F27">'Соловьиный пр-д д.8'!$D$25</definedName>
    <definedName name="_120h_F28">'Соловьиный пр-д д.8'!$D$26</definedName>
    <definedName name="_120h_F29">'Соловьиный пр-д д.8'!$D$27</definedName>
    <definedName name="_120h_F30">'Соловьиный пр-д д.8'!$D$28</definedName>
    <definedName name="_120h_F31">'Соловьиный пр-д д.8'!$D$29</definedName>
    <definedName name="_120h_F32">'Соловьиный пр-д д.8'!$D$30</definedName>
    <definedName name="_120h_F33">'Соловьиный пр-д д.8'!$D$31</definedName>
    <definedName name="_120h_F34">'Соловьиный пр-д д.8'!$D$32</definedName>
    <definedName name="_120h_F35">'Соловьиный пр-д д.8'!$D$33</definedName>
    <definedName name="_120h_F36">'Соловьиный пр-д д.8'!$D$34</definedName>
    <definedName name="_120h_F37">'Соловьиный пр-д д.8'!$D$35</definedName>
    <definedName name="_120h_F38">'Соловьиный пр-д д.8'!$D$36</definedName>
    <definedName name="_120h_F39">'Соловьиный пр-д д.8'!$D$37</definedName>
    <definedName name="_120h_F40">'Соловьиный пр-д д.8'!$D$38</definedName>
    <definedName name="_120h_F41">'Соловьиный пр-д д.8'!$D$39</definedName>
    <definedName name="_120h_F42">'Соловьиный пр-д д.8'!$D$40</definedName>
    <definedName name="_120h_F43">'Соловьиный пр-д д.8'!$D$41</definedName>
    <definedName name="_120h_F44">'Соловьиный пр-д д.8'!$D$42</definedName>
    <definedName name="_120h_F45">'Соловьиный пр-д д.8'!$D$43</definedName>
    <definedName name="_120h_F46">'Соловьиный пр-д д.8'!$D$44</definedName>
    <definedName name="_120h_F47">'Соловьиный пр-д д.8'!$D$45</definedName>
    <definedName name="_120h_F48">'Соловьиный пр-д д.8'!$D$46</definedName>
    <definedName name="_120h_F49">'Соловьиный пр-д д.8'!$D$47</definedName>
    <definedName name="_120h_F50">'Соловьиный пр-д д.8'!$D$48</definedName>
    <definedName name="_120h_F51">'Соловьиный пр-д д.8'!$D$49</definedName>
    <definedName name="_120h_F52">'Соловьиный пр-д д.8'!#REF!</definedName>
    <definedName name="_120h_F53">'Соловьиный пр-д д.8'!$D$50</definedName>
    <definedName name="_120h_F54">'Соловьиный пр-д д.8'!$D$51</definedName>
    <definedName name="_120h_F55">'Соловьиный пр-д д.8'!$D$52</definedName>
    <definedName name="_120h_F56">'Соловьиный пр-д д.8'!$D$53</definedName>
    <definedName name="_120h_F57">'Соловьиный пр-д д.8'!$D$54</definedName>
    <definedName name="_120h_F58">'Соловьиный пр-д д.8'!$D$55</definedName>
    <definedName name="_120h_F59">'Соловьиный пр-д д.8'!$D$56</definedName>
    <definedName name="_120h_F60">'Соловьиный пр-д д.8'!$D$57</definedName>
    <definedName name="_120h_F61">'Соловьиный пр-д д.8'!$D$58</definedName>
    <definedName name="_120h_F62">'Соловьиный пр-д д.8'!$D$59</definedName>
    <definedName name="_120h_F63">'Соловьиный пр-д д.8'!#REF!</definedName>
    <definedName name="_120h_F64">'Соловьиный пр-д д.8'!$D$60</definedName>
    <definedName name="_120h_F65">'Соловьиный пр-д д.8'!$D$61</definedName>
    <definedName name="_120h_F7">'Соловьиный пр-д д.8'!$D$5</definedName>
    <definedName name="_120h_F8">'Соловьиный пр-д д.8'!$D$6</definedName>
    <definedName name="_120h_F9">'Соловьиный пр-д д.8'!$D$7</definedName>
    <definedName name="_121h_E10">'Соловьиный~ д.14 стр.п.5-16'!$C$8</definedName>
    <definedName name="_121h_E11">'Соловьиный~ д.14 стр.п.5-16'!$C$9</definedName>
    <definedName name="_121h_E12">'Соловьиный~ д.14 стр.п.5-16'!$C$10</definedName>
    <definedName name="_121h_E13">'Соловьиный~ д.14 стр.п.5-16'!$C$11</definedName>
    <definedName name="_121h_E14">'Соловьиный~ д.14 стр.п.5-16'!$C$12</definedName>
    <definedName name="_121h_E15">'Соловьиный~ д.14 стр.п.5-16'!$C$13</definedName>
    <definedName name="_121h_E16">'Соловьиный~ д.14 стр.п.5-16'!$C$14</definedName>
    <definedName name="_121h_E17">'Соловьиный~ д.14 стр.п.5-16'!$C$15</definedName>
    <definedName name="_121h_E18">'Соловьиный~ д.14 стр.п.5-16'!$C$16</definedName>
    <definedName name="_121h_E19">'Соловьиный~ д.14 стр.п.5-16'!$C$17</definedName>
    <definedName name="_121h_E20">'Соловьиный~ д.14 стр.п.5-16'!$C$18</definedName>
    <definedName name="_121h_E21">'Соловьиный~ д.14 стр.п.5-16'!$C$19</definedName>
    <definedName name="_121h_E22">'Соловьиный~ д.14 стр.п.5-16'!$C$20</definedName>
    <definedName name="_121h_E23">'Соловьиный~ д.14 стр.п.5-16'!$C$21</definedName>
    <definedName name="_121h_E24">'Соловьиный~ д.14 стр.п.5-16'!$C$22</definedName>
    <definedName name="_121h_E25">'Соловьиный~ д.14 стр.п.5-16'!$C$23</definedName>
    <definedName name="_121h_E26">'Соловьиный~ д.14 стр.п.5-16'!$C$24</definedName>
    <definedName name="_121h_E27">'Соловьиный~ д.14 стр.п.5-16'!$C$25</definedName>
    <definedName name="_121h_E28">'Соловьиный~ д.14 стр.п.5-16'!$C$26</definedName>
    <definedName name="_121h_E29">'Соловьиный~ д.14 стр.п.5-16'!$C$27</definedName>
    <definedName name="_121h_E30">'Соловьиный~ д.14 стр.п.5-16'!$C$28</definedName>
    <definedName name="_121h_E31">'Соловьиный~ д.14 стр.п.5-16'!$C$29</definedName>
    <definedName name="_121h_E32">'Соловьиный~ д.14 стр.п.5-16'!$C$30</definedName>
    <definedName name="_121h_E33">'Соловьиный~ д.14 стр.п.5-16'!$C$31</definedName>
    <definedName name="_121h_E34">'Соловьиный~ д.14 стр.п.5-16'!$C$32</definedName>
    <definedName name="_121h_E35">'Соловьиный~ д.14 стр.п.5-16'!$C$33</definedName>
    <definedName name="_121h_E36">'Соловьиный~ д.14 стр.п.5-16'!$C$34</definedName>
    <definedName name="_121h_E37">'Соловьиный~ д.14 стр.п.5-16'!$C$35</definedName>
    <definedName name="_121h_E38">'Соловьиный~ д.14 стр.п.5-16'!$C$36</definedName>
    <definedName name="_121h_E39">'Соловьиный~ д.14 стр.п.5-16'!$C$37</definedName>
    <definedName name="_121h_E40">'Соловьиный~ д.14 стр.п.5-16'!$C$38</definedName>
    <definedName name="_121h_E41">'Соловьиный~ д.14 стр.п.5-16'!$C$39</definedName>
    <definedName name="_121h_E42">'Соловьиный~ д.14 стр.п.5-16'!$C$40</definedName>
    <definedName name="_121h_E43">'Соловьиный~ д.14 стр.п.5-16'!$C$41</definedName>
    <definedName name="_121h_E44">'Соловьиный~ д.14 стр.п.5-16'!$C$42</definedName>
    <definedName name="_121h_E45">'Соловьиный~ д.14 стр.п.5-16'!$C$43</definedName>
    <definedName name="_121h_E46">'Соловьиный~ д.14 стр.п.5-16'!$C$44</definedName>
    <definedName name="_121h_E47">'Соловьиный~ д.14 стр.п.5-16'!$C$45</definedName>
    <definedName name="_121h_E48">'Соловьиный~ д.14 стр.п.5-16'!$C$46</definedName>
    <definedName name="_121h_E49">'Соловьиный~ д.14 стр.п.5-16'!$C$47</definedName>
    <definedName name="_121h_E50">'Соловьиный~ д.14 стр.п.5-16'!$C$48</definedName>
    <definedName name="_121h_E51">'Соловьиный~ д.14 стр.п.5-16'!$C$49</definedName>
    <definedName name="_121h_E52">'Соловьиный~ д.14 стр.п.5-16'!#REF!</definedName>
    <definedName name="_121h_E53">'Соловьиный~ д.14 стр.п.5-16'!$C$50</definedName>
    <definedName name="_121h_E54">'Соловьиный~ д.14 стр.п.5-16'!$C$51</definedName>
    <definedName name="_121h_E55">'Соловьиный~ д.14 стр.п.5-16'!$C$52</definedName>
    <definedName name="_121h_E56">'Соловьиный~ д.14 стр.п.5-16'!$C$53</definedName>
    <definedName name="_121h_E57">'Соловьиный~ д.14 стр.п.5-16'!$C$54</definedName>
    <definedName name="_121h_E58">'Соловьиный~ д.14 стр.п.5-16'!$C$55</definedName>
    <definedName name="_121h_E59">'Соловьиный~ д.14 стр.п.5-16'!$C$56</definedName>
    <definedName name="_121h_E60">'Соловьиный~ д.14 стр.п.5-16'!$C$57</definedName>
    <definedName name="_121h_E61">'Соловьиный~ д.14 стр.п.5-16'!$C$58</definedName>
    <definedName name="_121h_E62">'Соловьиный~ д.14 стр.п.5-16'!$C$59</definedName>
    <definedName name="_121h_E63">'Соловьиный~ д.14 стр.п.5-16'!#REF!</definedName>
    <definedName name="_121h_E64">'Соловьиный~ д.14 стр.п.5-16'!$C$60</definedName>
    <definedName name="_121h_E65">'Соловьиный~ д.14 стр.п.5-16'!$C$61</definedName>
    <definedName name="_121h_E7">'Соловьиный~ д.14 стр.п.5-16'!$C$5</definedName>
    <definedName name="_121h_E8">'Соловьиный~ д.14 стр.п.5-16'!$C$6</definedName>
    <definedName name="_121h_E9">'Соловьиный~ д.14 стр.п.5-16'!$C$7</definedName>
    <definedName name="_121h_F10">'Соловьиный~ д.14 стр.п.5-16'!$D$8</definedName>
    <definedName name="_121h_F11">'Соловьиный~ д.14 стр.п.5-16'!$D$9</definedName>
    <definedName name="_121h_F12">'Соловьиный~ д.14 стр.п.5-16'!$D$10</definedName>
    <definedName name="_121h_F13">'Соловьиный~ д.14 стр.п.5-16'!$D$11</definedName>
    <definedName name="_121h_F14">'Соловьиный~ д.14 стр.п.5-16'!$D$12</definedName>
    <definedName name="_121h_F15">'Соловьиный~ д.14 стр.п.5-16'!$D$13</definedName>
    <definedName name="_121h_F16">'Соловьиный~ д.14 стр.п.5-16'!$D$14</definedName>
    <definedName name="_121h_F17">'Соловьиный~ д.14 стр.п.5-16'!$D$15</definedName>
    <definedName name="_121h_F18">'Соловьиный~ д.14 стр.п.5-16'!$D$16</definedName>
    <definedName name="_121h_F19">'Соловьиный~ д.14 стр.п.5-16'!$D$17</definedName>
    <definedName name="_121h_F20">'Соловьиный~ д.14 стр.п.5-16'!$D$18</definedName>
    <definedName name="_121h_F21">'Соловьиный~ д.14 стр.п.5-16'!$D$19</definedName>
    <definedName name="_121h_F22">'Соловьиный~ д.14 стр.п.5-16'!$D$20</definedName>
    <definedName name="_121h_F23">'Соловьиный~ д.14 стр.п.5-16'!$D$21</definedName>
    <definedName name="_121h_F24">'Соловьиный~ д.14 стр.п.5-16'!$D$22</definedName>
    <definedName name="_121h_F25">'Соловьиный~ д.14 стр.п.5-16'!$D$23</definedName>
    <definedName name="_121h_F26">'Соловьиный~ д.14 стр.п.5-16'!$D$24</definedName>
    <definedName name="_121h_F27">'Соловьиный~ д.14 стр.п.5-16'!$D$25</definedName>
    <definedName name="_121h_F28">'Соловьиный~ д.14 стр.п.5-16'!$D$26</definedName>
    <definedName name="_121h_F29">'Соловьиный~ д.14 стр.п.5-16'!$D$27</definedName>
    <definedName name="_121h_F30">'Соловьиный~ д.14 стр.п.5-16'!$D$28</definedName>
    <definedName name="_121h_F31">'Соловьиный~ д.14 стр.п.5-16'!$D$29</definedName>
    <definedName name="_121h_F32">'Соловьиный~ д.14 стр.п.5-16'!$D$30</definedName>
    <definedName name="_121h_F33">'Соловьиный~ д.14 стр.п.5-16'!$D$31</definedName>
    <definedName name="_121h_F34">'Соловьиный~ д.14 стр.п.5-16'!$D$32</definedName>
    <definedName name="_121h_F35">'Соловьиный~ д.14 стр.п.5-16'!$D$33</definedName>
    <definedName name="_121h_F36">'Соловьиный~ д.14 стр.п.5-16'!$D$34</definedName>
    <definedName name="_121h_F37">'Соловьиный~ д.14 стр.п.5-16'!$D$35</definedName>
    <definedName name="_121h_F38">'Соловьиный~ д.14 стр.п.5-16'!$D$36</definedName>
    <definedName name="_121h_F39">'Соловьиный~ д.14 стр.п.5-16'!$D$37</definedName>
    <definedName name="_121h_F40">'Соловьиный~ д.14 стр.п.5-16'!$D$38</definedName>
    <definedName name="_121h_F41">'Соловьиный~ д.14 стр.п.5-16'!$D$39</definedName>
    <definedName name="_121h_F42">'Соловьиный~ д.14 стр.п.5-16'!$D$40</definedName>
    <definedName name="_121h_F43">'Соловьиный~ д.14 стр.п.5-16'!$D$41</definedName>
    <definedName name="_121h_F44">'Соловьиный~ д.14 стр.п.5-16'!$D$42</definedName>
    <definedName name="_121h_F45">'Соловьиный~ д.14 стр.п.5-16'!$D$43</definedName>
    <definedName name="_121h_F46">'Соловьиный~ д.14 стр.п.5-16'!$D$44</definedName>
    <definedName name="_121h_F47">'Соловьиный~ д.14 стр.п.5-16'!$D$45</definedName>
    <definedName name="_121h_F48">'Соловьиный~ д.14 стр.п.5-16'!$D$46</definedName>
    <definedName name="_121h_F49">'Соловьиный~ д.14 стр.п.5-16'!$D$47</definedName>
    <definedName name="_121h_F50">'Соловьиный~ д.14 стр.п.5-16'!$D$48</definedName>
    <definedName name="_121h_F51">'Соловьиный~ д.14 стр.п.5-16'!$D$49</definedName>
    <definedName name="_121h_F52">'Соловьиный~ д.14 стр.п.5-16'!#REF!</definedName>
    <definedName name="_121h_F53">'Соловьиный~ д.14 стр.п.5-16'!$D$50</definedName>
    <definedName name="_121h_F54">'Соловьиный~ д.14 стр.п.5-16'!$D$51</definedName>
    <definedName name="_121h_F55">'Соловьиный~ д.14 стр.п.5-16'!$D$52</definedName>
    <definedName name="_121h_F56">'Соловьиный~ д.14 стр.п.5-16'!$D$53</definedName>
    <definedName name="_121h_F57">'Соловьиный~ д.14 стр.п.5-16'!$D$54</definedName>
    <definedName name="_121h_F58">'Соловьиный~ д.14 стр.п.5-16'!$D$55</definedName>
    <definedName name="_121h_F59">'Соловьиный~ д.14 стр.п.5-16'!$D$56</definedName>
    <definedName name="_121h_F60">'Соловьиный~ д.14 стр.п.5-16'!$D$57</definedName>
    <definedName name="_121h_F61">'Соловьиный~ д.14 стр.п.5-16'!$D$58</definedName>
    <definedName name="_121h_F62">'Соловьиный~ д.14 стр.п.5-16'!$D$59</definedName>
    <definedName name="_121h_F63">'Соловьиный~ д.14 стр.п.5-16'!#REF!</definedName>
    <definedName name="_121h_F64">'Соловьиный~ д.14 стр.п.5-16'!$D$60</definedName>
    <definedName name="_121h_F65">'Соловьиный~ д.14 стр.п.5-16'!$D$61</definedName>
    <definedName name="_121h_F7">'Соловьиный~ д.14 стр.п.5-16'!$D$5</definedName>
    <definedName name="_121h_F8">'Соловьиный~ д.14 стр.п.5-16'!$D$6</definedName>
    <definedName name="_121h_F9">'Соловьиный~ д.14 стр.п.5-16'!$D$7</definedName>
    <definedName name="_122h_E10">'Соловьиный пр-д д.16 к.1'!$C$8</definedName>
    <definedName name="_122h_E11">'Соловьиный пр-д д.16 к.1'!$C$9</definedName>
    <definedName name="_122h_E12">'Соловьиный пр-д д.16 к.1'!$C$10</definedName>
    <definedName name="_122h_E13">'Соловьиный пр-д д.16 к.1'!$C$11</definedName>
    <definedName name="_122h_E14">'Соловьиный пр-д д.16 к.1'!$C$12</definedName>
    <definedName name="_122h_E15">'Соловьиный пр-д д.16 к.1'!$C$13</definedName>
    <definedName name="_122h_E16">'Соловьиный пр-д д.16 к.1'!$C$14</definedName>
    <definedName name="_122h_E17">'Соловьиный пр-д д.16 к.1'!$C$15</definedName>
    <definedName name="_122h_E18">'Соловьиный пр-д д.16 к.1'!$C$16</definedName>
    <definedName name="_122h_E19">'Соловьиный пр-д д.16 к.1'!$C$17</definedName>
    <definedName name="_122h_E20">'Соловьиный пр-д д.16 к.1'!$C$18</definedName>
    <definedName name="_122h_E21">'Соловьиный пр-д д.16 к.1'!$C$19</definedName>
    <definedName name="_122h_E22">'Соловьиный пр-д д.16 к.1'!$C$20</definedName>
    <definedName name="_122h_E23">'Соловьиный пр-д д.16 к.1'!$C$21</definedName>
    <definedName name="_122h_E24">'Соловьиный пр-д д.16 к.1'!$C$22</definedName>
    <definedName name="_122h_E25">'Соловьиный пр-д д.16 к.1'!$C$23</definedName>
    <definedName name="_122h_E26">'Соловьиный пр-д д.16 к.1'!$C$24</definedName>
    <definedName name="_122h_E27">'Соловьиный пр-д д.16 к.1'!$C$25</definedName>
    <definedName name="_122h_E28">'Соловьиный пр-д д.16 к.1'!$C$26</definedName>
    <definedName name="_122h_E29">'Соловьиный пр-д д.16 к.1'!$C$27</definedName>
    <definedName name="_122h_E30">'Соловьиный пр-д д.16 к.1'!$C$28</definedName>
    <definedName name="_122h_E31">'Соловьиный пр-д д.16 к.1'!$C$29</definedName>
    <definedName name="_122h_E32">'Соловьиный пр-д д.16 к.1'!$C$30</definedName>
    <definedName name="_122h_E33">'Соловьиный пр-д д.16 к.1'!$C$31</definedName>
    <definedName name="_122h_E34">'Соловьиный пр-д д.16 к.1'!$C$32</definedName>
    <definedName name="_122h_E35">'Соловьиный пр-д д.16 к.1'!$C$33</definedName>
    <definedName name="_122h_E36">'Соловьиный пр-д д.16 к.1'!$C$34</definedName>
    <definedName name="_122h_E37">'Соловьиный пр-д д.16 к.1'!$C$35</definedName>
    <definedName name="_122h_E38">'Соловьиный пр-д д.16 к.1'!$C$36</definedName>
    <definedName name="_122h_E39">'Соловьиный пр-д д.16 к.1'!$C$37</definedName>
    <definedName name="_122h_E40">'Соловьиный пр-д д.16 к.1'!$C$38</definedName>
    <definedName name="_122h_E41">'Соловьиный пр-д д.16 к.1'!$C$39</definedName>
    <definedName name="_122h_E42">'Соловьиный пр-д д.16 к.1'!$C$40</definedName>
    <definedName name="_122h_E43">'Соловьиный пр-д д.16 к.1'!$C$41</definedName>
    <definedName name="_122h_E44">'Соловьиный пр-д д.16 к.1'!$C$42</definedName>
    <definedName name="_122h_E45">'Соловьиный пр-д д.16 к.1'!$C$43</definedName>
    <definedName name="_122h_E46">'Соловьиный пр-д д.16 к.1'!$C$44</definedName>
    <definedName name="_122h_E47">'Соловьиный пр-д д.16 к.1'!$C$45</definedName>
    <definedName name="_122h_E48">'Соловьиный пр-д д.16 к.1'!$C$46</definedName>
    <definedName name="_122h_E49">'Соловьиный пр-д д.16 к.1'!$C$47</definedName>
    <definedName name="_122h_E50">'Соловьиный пр-д д.16 к.1'!$C$48</definedName>
    <definedName name="_122h_E51">'Соловьиный пр-д д.16 к.1'!$C$49</definedName>
    <definedName name="_122h_E52">'Соловьиный пр-д д.16 к.1'!#REF!</definedName>
    <definedName name="_122h_E53">'Соловьиный пр-д д.16 к.1'!$C$50</definedName>
    <definedName name="_122h_E54">'Соловьиный пр-д д.16 к.1'!$C$51</definedName>
    <definedName name="_122h_E55">'Соловьиный пр-д д.16 к.1'!$C$52</definedName>
    <definedName name="_122h_E56">'Соловьиный пр-д д.16 к.1'!$C$53</definedName>
    <definedName name="_122h_E57">'Соловьиный пр-д д.16 к.1'!$C$54</definedName>
    <definedName name="_122h_E58">'Соловьиный пр-д д.16 к.1'!$C$55</definedName>
    <definedName name="_122h_E59">'Соловьиный пр-д д.16 к.1'!$C$56</definedName>
    <definedName name="_122h_E60">'Соловьиный пр-д д.16 к.1'!$C$57</definedName>
    <definedName name="_122h_E61">'Соловьиный пр-д д.16 к.1'!$C$58</definedName>
    <definedName name="_122h_E62">'Соловьиный пр-д д.16 к.1'!$C$59</definedName>
    <definedName name="_122h_E63">'Соловьиный пр-д д.16 к.1'!#REF!</definedName>
    <definedName name="_122h_E64">'Соловьиный пр-д д.16 к.1'!$C$60</definedName>
    <definedName name="_122h_E65">'Соловьиный пр-д д.16 к.1'!$C$61</definedName>
    <definedName name="_122h_E7">'Соловьиный пр-д д.16 к.1'!$C$5</definedName>
    <definedName name="_122h_E8">'Соловьиный пр-д д.16 к.1'!$C$6</definedName>
    <definedName name="_122h_E9">'Соловьиный пр-д д.16 к.1'!$C$7</definedName>
    <definedName name="_122h_F10">'Соловьиный пр-д д.16 к.1'!$D$8</definedName>
    <definedName name="_122h_F11">'Соловьиный пр-д д.16 к.1'!$D$9</definedName>
    <definedName name="_122h_F12">'Соловьиный пр-д д.16 к.1'!$D$10</definedName>
    <definedName name="_122h_F13">'Соловьиный пр-д д.16 к.1'!$D$11</definedName>
    <definedName name="_122h_F14">'Соловьиный пр-д д.16 к.1'!$D$12</definedName>
    <definedName name="_122h_F15">'Соловьиный пр-д д.16 к.1'!$D$13</definedName>
    <definedName name="_122h_F16">'Соловьиный пр-д д.16 к.1'!$D$14</definedName>
    <definedName name="_122h_F17">'Соловьиный пр-д д.16 к.1'!$D$15</definedName>
    <definedName name="_122h_F18">'Соловьиный пр-д д.16 к.1'!$D$16</definedName>
    <definedName name="_122h_F19">'Соловьиный пр-д д.16 к.1'!$D$17</definedName>
    <definedName name="_122h_F20">'Соловьиный пр-д д.16 к.1'!$D$18</definedName>
    <definedName name="_122h_F21">'Соловьиный пр-д д.16 к.1'!$D$19</definedName>
    <definedName name="_122h_F22">'Соловьиный пр-д д.16 к.1'!$D$20</definedName>
    <definedName name="_122h_F23">'Соловьиный пр-д д.16 к.1'!$D$21</definedName>
    <definedName name="_122h_F24">'Соловьиный пр-д д.16 к.1'!$D$22</definedName>
    <definedName name="_122h_F25">'Соловьиный пр-д д.16 к.1'!$D$23</definedName>
    <definedName name="_122h_F26">'Соловьиный пр-д д.16 к.1'!$D$24</definedName>
    <definedName name="_122h_F27">'Соловьиный пр-д д.16 к.1'!$D$25</definedName>
    <definedName name="_122h_F28">'Соловьиный пр-д д.16 к.1'!$D$26</definedName>
    <definedName name="_122h_F29">'Соловьиный пр-д д.16 к.1'!$D$27</definedName>
    <definedName name="_122h_F30">'Соловьиный пр-д д.16 к.1'!$D$28</definedName>
    <definedName name="_122h_F31">'Соловьиный пр-д д.16 к.1'!$D$29</definedName>
    <definedName name="_122h_F32">'Соловьиный пр-д д.16 к.1'!$D$30</definedName>
    <definedName name="_122h_F33">'Соловьиный пр-д д.16 к.1'!$D$31</definedName>
    <definedName name="_122h_F34">'Соловьиный пр-д д.16 к.1'!$D$32</definedName>
    <definedName name="_122h_F35">'Соловьиный пр-д д.16 к.1'!$D$33</definedName>
    <definedName name="_122h_F36">'Соловьиный пр-д д.16 к.1'!$D$34</definedName>
    <definedName name="_122h_F37">'Соловьиный пр-д д.16 к.1'!$D$35</definedName>
    <definedName name="_122h_F38">'Соловьиный пр-д д.16 к.1'!$D$36</definedName>
    <definedName name="_122h_F39">'Соловьиный пр-д д.16 к.1'!$D$37</definedName>
    <definedName name="_122h_F40">'Соловьиный пр-д д.16 к.1'!$D$38</definedName>
    <definedName name="_122h_F41">'Соловьиный пр-д д.16 к.1'!$D$39</definedName>
    <definedName name="_122h_F42">'Соловьиный пр-д д.16 к.1'!$D$40</definedName>
    <definedName name="_122h_F43">'Соловьиный пр-д д.16 к.1'!$D$41</definedName>
    <definedName name="_122h_F44">'Соловьиный пр-д д.16 к.1'!$D$42</definedName>
    <definedName name="_122h_F45">'Соловьиный пр-д д.16 к.1'!$D$43</definedName>
    <definedName name="_122h_F46">'Соловьиный пр-д д.16 к.1'!$D$44</definedName>
    <definedName name="_122h_F47">'Соловьиный пр-д д.16 к.1'!$D$45</definedName>
    <definedName name="_122h_F48">'Соловьиный пр-д д.16 к.1'!$D$46</definedName>
    <definedName name="_122h_F49">'Соловьиный пр-д д.16 к.1'!$D$47</definedName>
    <definedName name="_122h_F50">'Соловьиный пр-д д.16 к.1'!$D$48</definedName>
    <definedName name="_122h_F51">'Соловьиный пр-д д.16 к.1'!$D$49</definedName>
    <definedName name="_122h_F52">'Соловьиный пр-д д.16 к.1'!#REF!</definedName>
    <definedName name="_122h_F53">'Соловьиный пр-д д.16 к.1'!$D$50</definedName>
    <definedName name="_122h_F54">'Соловьиный пр-д д.16 к.1'!$D$51</definedName>
    <definedName name="_122h_F55">'Соловьиный пр-д д.16 к.1'!$D$52</definedName>
    <definedName name="_122h_F56">'Соловьиный пр-д д.16 к.1'!$D$53</definedName>
    <definedName name="_122h_F57">'Соловьиный пр-д д.16 к.1'!$D$54</definedName>
    <definedName name="_122h_F58">'Соловьиный пр-д д.16 к.1'!$D$55</definedName>
    <definedName name="_122h_F59">'Соловьиный пр-д д.16 к.1'!$D$56</definedName>
    <definedName name="_122h_F60">'Соловьиный пр-д д.16 к.1'!$D$57</definedName>
    <definedName name="_122h_F61">'Соловьиный пр-д д.16 к.1'!$D$58</definedName>
    <definedName name="_122h_F62">'Соловьиный пр-д д.16 к.1'!$D$59</definedName>
    <definedName name="_122h_F63">'Соловьиный пр-д д.16 к.1'!#REF!</definedName>
    <definedName name="_122h_F64">'Соловьиный пр-д д.16 к.1'!$D$60</definedName>
    <definedName name="_122h_F65">'Соловьиный пр-д д.16 к.1'!$D$61</definedName>
    <definedName name="_122h_F7">'Соловьиный пр-д д.16 к.1'!$D$5</definedName>
    <definedName name="_122h_F8">'Соловьиный пр-д д.16 к.1'!$D$6</definedName>
    <definedName name="_122h_F9">'Соловьиный пр-д д.16 к.1'!$D$7</definedName>
    <definedName name="_123h_E10">'Соловьиный пр-д д.18'!$C$8</definedName>
    <definedName name="_123h_E11">'Соловьиный пр-д д.18'!$C$9</definedName>
    <definedName name="_123h_E12">'Соловьиный пр-д д.18'!$C$10</definedName>
    <definedName name="_123h_E13">'Соловьиный пр-д д.18'!$C$11</definedName>
    <definedName name="_123h_E14">'Соловьиный пр-д д.18'!$C$12</definedName>
    <definedName name="_123h_E15">'Соловьиный пр-д д.18'!$C$13</definedName>
    <definedName name="_123h_E16">'Соловьиный пр-д д.18'!$C$14</definedName>
    <definedName name="_123h_E17">'Соловьиный пр-д д.18'!$C$15</definedName>
    <definedName name="_123h_E18">'Соловьиный пр-д д.18'!$C$16</definedName>
    <definedName name="_123h_E19">'Соловьиный пр-д д.18'!$C$17</definedName>
    <definedName name="_123h_E20">'Соловьиный пр-д д.18'!$C$18</definedName>
    <definedName name="_123h_E21">'Соловьиный пр-д д.18'!$C$19</definedName>
    <definedName name="_123h_E22">'Соловьиный пр-д д.18'!$C$20</definedName>
    <definedName name="_123h_E23">'Соловьиный пр-д д.18'!$C$21</definedName>
    <definedName name="_123h_E24">'Соловьиный пр-д д.18'!$C$22</definedName>
    <definedName name="_123h_E25">'Соловьиный пр-д д.18'!$C$23</definedName>
    <definedName name="_123h_E26">'Соловьиный пр-д д.18'!$C$24</definedName>
    <definedName name="_123h_E27">'Соловьиный пр-д д.18'!$C$25</definedName>
    <definedName name="_123h_E28">'Соловьиный пр-д д.18'!$C$26</definedName>
    <definedName name="_123h_E29">'Соловьиный пр-д д.18'!$C$27</definedName>
    <definedName name="_123h_E30">'Соловьиный пр-д д.18'!$C$28</definedName>
    <definedName name="_123h_E31">'Соловьиный пр-д д.18'!$C$29</definedName>
    <definedName name="_123h_E32">'Соловьиный пр-д д.18'!$C$30</definedName>
    <definedName name="_123h_E33">'Соловьиный пр-д д.18'!$C$31</definedName>
    <definedName name="_123h_E34">'Соловьиный пр-д д.18'!$C$32</definedName>
    <definedName name="_123h_E35">'Соловьиный пр-д д.18'!$C$33</definedName>
    <definedName name="_123h_E36">'Соловьиный пр-д д.18'!$C$34</definedName>
    <definedName name="_123h_E37">'Соловьиный пр-д д.18'!$C$35</definedName>
    <definedName name="_123h_E38">'Соловьиный пр-д д.18'!$C$36</definedName>
    <definedName name="_123h_E39">'Соловьиный пр-д д.18'!$C$37</definedName>
    <definedName name="_123h_E40">'Соловьиный пр-д д.18'!$C$38</definedName>
    <definedName name="_123h_E41">'Соловьиный пр-д д.18'!$C$39</definedName>
    <definedName name="_123h_E42">'Соловьиный пр-д д.18'!$C$40</definedName>
    <definedName name="_123h_E43">'Соловьиный пр-д д.18'!$C$41</definedName>
    <definedName name="_123h_E44">'Соловьиный пр-д д.18'!$C$42</definedName>
    <definedName name="_123h_E45">'Соловьиный пр-д д.18'!$C$43</definedName>
    <definedName name="_123h_E46">'Соловьиный пр-д д.18'!$C$44</definedName>
    <definedName name="_123h_E47">'Соловьиный пр-д д.18'!$C$45</definedName>
    <definedName name="_123h_E48">'Соловьиный пр-д д.18'!$C$46</definedName>
    <definedName name="_123h_E49">'Соловьиный пр-д д.18'!$C$47</definedName>
    <definedName name="_123h_E50">'Соловьиный пр-д д.18'!$C$48</definedName>
    <definedName name="_123h_E51">'Соловьиный пр-д д.18'!$C$49</definedName>
    <definedName name="_123h_E52">'Соловьиный пр-д д.18'!#REF!</definedName>
    <definedName name="_123h_E53">'Соловьиный пр-д д.18'!$C$50</definedName>
    <definedName name="_123h_E54">'Соловьиный пр-д д.18'!$C$51</definedName>
    <definedName name="_123h_E55">'Соловьиный пр-д д.18'!$C$52</definedName>
    <definedName name="_123h_E56">'Соловьиный пр-д д.18'!$C$53</definedName>
    <definedName name="_123h_E57">'Соловьиный пр-д д.18'!$C$54</definedName>
    <definedName name="_123h_E58">'Соловьиный пр-д д.18'!$C$55</definedName>
    <definedName name="_123h_E59">'Соловьиный пр-д д.18'!$C$56</definedName>
    <definedName name="_123h_E60">'Соловьиный пр-д д.18'!$C$57</definedName>
    <definedName name="_123h_E61">'Соловьиный пр-д д.18'!$C$58</definedName>
    <definedName name="_123h_E62">'Соловьиный пр-д д.18'!$C$59</definedName>
    <definedName name="_123h_E63">'Соловьиный пр-д д.18'!#REF!</definedName>
    <definedName name="_123h_E64">'Соловьиный пр-д д.18'!$C$60</definedName>
    <definedName name="_123h_E65">'Соловьиный пр-д д.18'!$C$61</definedName>
    <definedName name="_123h_E7">'Соловьиный пр-д д.18'!$C$5</definedName>
    <definedName name="_123h_E8">'Соловьиный пр-д д.18'!$C$6</definedName>
    <definedName name="_123h_E9">'Соловьиный пр-д д.18'!$C$7</definedName>
    <definedName name="_123h_F10">'Соловьиный пр-д д.18'!$D$8</definedName>
    <definedName name="_123h_F11">'Соловьиный пр-д д.18'!$D$9</definedName>
    <definedName name="_123h_F12">'Соловьиный пр-д д.18'!$D$10</definedName>
    <definedName name="_123h_F13">'Соловьиный пр-д д.18'!$D$11</definedName>
    <definedName name="_123h_F14">'Соловьиный пр-д д.18'!$D$12</definedName>
    <definedName name="_123h_F15">'Соловьиный пр-д д.18'!$D$13</definedName>
    <definedName name="_123h_F16">'Соловьиный пр-д д.18'!$D$14</definedName>
    <definedName name="_123h_F17">'Соловьиный пр-д д.18'!$D$15</definedName>
    <definedName name="_123h_F18">'Соловьиный пр-д д.18'!$D$16</definedName>
    <definedName name="_123h_F19">'Соловьиный пр-д д.18'!$D$17</definedName>
    <definedName name="_123h_F20">'Соловьиный пр-д д.18'!$D$18</definedName>
    <definedName name="_123h_F21">'Соловьиный пр-д д.18'!$D$19</definedName>
    <definedName name="_123h_F22">'Соловьиный пр-д д.18'!$D$20</definedName>
    <definedName name="_123h_F23">'Соловьиный пр-д д.18'!$D$21</definedName>
    <definedName name="_123h_F24">'Соловьиный пр-д д.18'!$D$22</definedName>
    <definedName name="_123h_F25">'Соловьиный пр-д д.18'!$D$23</definedName>
    <definedName name="_123h_F26">'Соловьиный пр-д д.18'!$D$24</definedName>
    <definedName name="_123h_F27">'Соловьиный пр-д д.18'!$D$25</definedName>
    <definedName name="_123h_F28">'Соловьиный пр-д д.18'!$D$26</definedName>
    <definedName name="_123h_F29">'Соловьиный пр-д д.18'!$D$27</definedName>
    <definedName name="_123h_F30">'Соловьиный пр-д д.18'!$D$28</definedName>
    <definedName name="_123h_F31">'Соловьиный пр-д д.18'!$D$29</definedName>
    <definedName name="_123h_F32">'Соловьиный пр-д д.18'!$D$30</definedName>
    <definedName name="_123h_F33">'Соловьиный пр-д д.18'!$D$31</definedName>
    <definedName name="_123h_F34">'Соловьиный пр-д д.18'!$D$32</definedName>
    <definedName name="_123h_F35">'Соловьиный пр-д д.18'!$D$33</definedName>
    <definedName name="_123h_F36">'Соловьиный пр-д д.18'!$D$34</definedName>
    <definedName name="_123h_F37">'Соловьиный пр-д д.18'!$D$35</definedName>
    <definedName name="_123h_F38">'Соловьиный пр-д д.18'!$D$36</definedName>
    <definedName name="_123h_F39">'Соловьиный пр-д д.18'!$D$37</definedName>
    <definedName name="_123h_F40">'Соловьиный пр-д д.18'!$D$38</definedName>
    <definedName name="_123h_F41">'Соловьиный пр-д д.18'!$D$39</definedName>
    <definedName name="_123h_F42">'Соловьиный пр-д д.18'!$D$40</definedName>
    <definedName name="_123h_F43">'Соловьиный пр-д д.18'!$D$41</definedName>
    <definedName name="_123h_F44">'Соловьиный пр-д д.18'!$D$42</definedName>
    <definedName name="_123h_F45">'Соловьиный пр-д д.18'!$D$43</definedName>
    <definedName name="_123h_F46">'Соловьиный пр-д д.18'!$D$44</definedName>
    <definedName name="_123h_F47">'Соловьиный пр-д д.18'!$D$45</definedName>
    <definedName name="_123h_F48">'Соловьиный пр-д д.18'!$D$46</definedName>
    <definedName name="_123h_F49">'Соловьиный пр-д д.18'!$D$47</definedName>
    <definedName name="_123h_F50">'Соловьиный пр-д д.18'!$D$48</definedName>
    <definedName name="_123h_F51">'Соловьиный пр-д д.18'!$D$49</definedName>
    <definedName name="_123h_F52">'Соловьиный пр-д д.18'!#REF!</definedName>
    <definedName name="_123h_F53">'Соловьиный пр-д д.18'!$D$50</definedName>
    <definedName name="_123h_F54">'Соловьиный пр-д д.18'!$D$51</definedName>
    <definedName name="_123h_F55">'Соловьиный пр-д д.18'!$D$52</definedName>
    <definedName name="_123h_F56">'Соловьиный пр-д д.18'!$D$53</definedName>
    <definedName name="_123h_F57">'Соловьиный пр-д д.18'!$D$54</definedName>
    <definedName name="_123h_F58">'Соловьиный пр-д д.18'!$D$55</definedName>
    <definedName name="_123h_F59">'Соловьиный пр-д д.18'!$D$56</definedName>
    <definedName name="_123h_F60">'Соловьиный пр-д д.18'!$D$57</definedName>
    <definedName name="_123h_F61">'Соловьиный пр-д д.18'!$D$58</definedName>
    <definedName name="_123h_F62">'Соловьиный пр-д д.18'!$D$59</definedName>
    <definedName name="_123h_F63">'Соловьиный пр-д д.18'!#REF!</definedName>
    <definedName name="_123h_F64">'Соловьиный пр-д д.18'!$D$60</definedName>
    <definedName name="_123h_F65">'Соловьиный пр-д д.18'!$D$61</definedName>
    <definedName name="_123h_F7">'Соловьиный пр-д д.18'!$D$5</definedName>
    <definedName name="_123h_F8">'Соловьиный пр-д д.18'!$D$6</definedName>
    <definedName name="_123h_F9">'Соловьиный пр-д д.18'!$D$7</definedName>
    <definedName name="_124h_E10">'Тарусская д.14 к.1'!$C$8</definedName>
    <definedName name="_124h_E11">'Тарусская д.14 к.1'!$C$9</definedName>
    <definedName name="_124h_E12">'Тарусская д.14 к.1'!$C$10</definedName>
    <definedName name="_124h_E13">'Тарусская д.14 к.1'!$C$11</definedName>
    <definedName name="_124h_E14">'Тарусская д.14 к.1'!$C$12</definedName>
    <definedName name="_124h_E15">'Тарусская д.14 к.1'!$C$13</definedName>
    <definedName name="_124h_E16">'Тарусская д.14 к.1'!$C$14</definedName>
    <definedName name="_124h_E17">'Тарусская д.14 к.1'!$C$15</definedName>
    <definedName name="_124h_E18">'Тарусская д.14 к.1'!$C$16</definedName>
    <definedName name="_124h_E19">'Тарусская д.14 к.1'!$C$17</definedName>
    <definedName name="_124h_E20">'Тарусская д.14 к.1'!$C$18</definedName>
    <definedName name="_124h_E21">'Тарусская д.14 к.1'!$C$19</definedName>
    <definedName name="_124h_E22">'Тарусская д.14 к.1'!$C$20</definedName>
    <definedName name="_124h_E23">'Тарусская д.14 к.1'!$C$21</definedName>
    <definedName name="_124h_E24">'Тарусская д.14 к.1'!$C$22</definedName>
    <definedName name="_124h_E25">'Тарусская д.14 к.1'!$C$23</definedName>
    <definedName name="_124h_E26">'Тарусская д.14 к.1'!$C$24</definedName>
    <definedName name="_124h_E27">'Тарусская д.14 к.1'!$C$25</definedName>
    <definedName name="_124h_E28">'Тарусская д.14 к.1'!$C$26</definedName>
    <definedName name="_124h_E29">'Тарусская д.14 к.1'!$C$27</definedName>
    <definedName name="_124h_E30">'Тарусская д.14 к.1'!$C$28</definedName>
    <definedName name="_124h_E31">'Тарусская д.14 к.1'!$C$29</definedName>
    <definedName name="_124h_E32">'Тарусская д.14 к.1'!$C$30</definedName>
    <definedName name="_124h_E33">'Тарусская д.14 к.1'!$C$31</definedName>
    <definedName name="_124h_E34">'Тарусская д.14 к.1'!$C$32</definedName>
    <definedName name="_124h_E35">'Тарусская д.14 к.1'!$C$33</definedName>
    <definedName name="_124h_E36">'Тарусская д.14 к.1'!$C$34</definedName>
    <definedName name="_124h_E37">'Тарусская д.14 к.1'!$C$35</definedName>
    <definedName name="_124h_E38">'Тарусская д.14 к.1'!$C$36</definedName>
    <definedName name="_124h_E39">'Тарусская д.14 к.1'!$C$37</definedName>
    <definedName name="_124h_E40">'Тарусская д.14 к.1'!$C$38</definedName>
    <definedName name="_124h_E41">'Тарусская д.14 к.1'!$C$39</definedName>
    <definedName name="_124h_E42">'Тарусская д.14 к.1'!$C$40</definedName>
    <definedName name="_124h_E43">'Тарусская д.14 к.1'!$C$41</definedName>
    <definedName name="_124h_E44">'Тарусская д.14 к.1'!$C$42</definedName>
    <definedName name="_124h_E45">'Тарусская д.14 к.1'!$C$43</definedName>
    <definedName name="_124h_E46">'Тарусская д.14 к.1'!$C$44</definedName>
    <definedName name="_124h_E47">'Тарусская д.14 к.1'!$C$45</definedName>
    <definedName name="_124h_E48">'Тарусская д.14 к.1'!$C$46</definedName>
    <definedName name="_124h_E49">'Тарусская д.14 к.1'!$C$47</definedName>
    <definedName name="_124h_E50">'Тарусская д.14 к.1'!$C$48</definedName>
    <definedName name="_124h_E51">'Тарусская д.14 к.1'!$C$49</definedName>
    <definedName name="_124h_E52">'Тарусская д.14 к.1'!#REF!</definedName>
    <definedName name="_124h_E53">'Тарусская д.14 к.1'!$C$50</definedName>
    <definedName name="_124h_E54">'Тарусская д.14 к.1'!$C$51</definedName>
    <definedName name="_124h_E55">'Тарусская д.14 к.1'!$C$52</definedName>
    <definedName name="_124h_E56">'Тарусская д.14 к.1'!$C$53</definedName>
    <definedName name="_124h_E57">'Тарусская д.14 к.1'!$C$54</definedName>
    <definedName name="_124h_E58">'Тарусская д.14 к.1'!$C$55</definedName>
    <definedName name="_124h_E59">'Тарусская д.14 к.1'!$C$56</definedName>
    <definedName name="_124h_E60">'Тарусская д.14 к.1'!$C$57</definedName>
    <definedName name="_124h_E61">'Тарусская д.14 к.1'!$C$58</definedName>
    <definedName name="_124h_E62">'Тарусская д.14 к.1'!$C$59</definedName>
    <definedName name="_124h_E63">'Тарусская д.14 к.1'!#REF!</definedName>
    <definedName name="_124h_E64">'Тарусская д.14 к.1'!$C$60</definedName>
    <definedName name="_124h_E65">'Тарусская д.14 к.1'!$C$61</definedName>
    <definedName name="_124h_E7">'Тарусская д.14 к.1'!$C$5</definedName>
    <definedName name="_124h_E8">'Тарусская д.14 к.1'!$C$6</definedName>
    <definedName name="_124h_E9">'Тарусская д.14 к.1'!$C$7</definedName>
    <definedName name="_124h_F10">'Тарусская д.14 к.1'!$D$8</definedName>
    <definedName name="_124h_F11">'Тарусская д.14 к.1'!$D$9</definedName>
    <definedName name="_124h_F12">'Тарусская д.14 к.1'!$D$10</definedName>
    <definedName name="_124h_F13">'Тарусская д.14 к.1'!$D$11</definedName>
    <definedName name="_124h_F14">'Тарусская д.14 к.1'!$D$12</definedName>
    <definedName name="_124h_F15">'Тарусская д.14 к.1'!$D$13</definedName>
    <definedName name="_124h_F16">'Тарусская д.14 к.1'!$D$14</definedName>
    <definedName name="_124h_F17">'Тарусская д.14 к.1'!$D$15</definedName>
    <definedName name="_124h_F18">'Тарусская д.14 к.1'!$D$16</definedName>
    <definedName name="_124h_F19">'Тарусская д.14 к.1'!$D$17</definedName>
    <definedName name="_124h_F20">'Тарусская д.14 к.1'!$D$18</definedName>
    <definedName name="_124h_F21">'Тарусская д.14 к.1'!$D$19</definedName>
    <definedName name="_124h_F22">'Тарусская д.14 к.1'!$D$20</definedName>
    <definedName name="_124h_F23">'Тарусская д.14 к.1'!$D$21</definedName>
    <definedName name="_124h_F24">'Тарусская д.14 к.1'!$D$22</definedName>
    <definedName name="_124h_F25">'Тарусская д.14 к.1'!$D$23</definedName>
    <definedName name="_124h_F26">'Тарусская д.14 к.1'!$D$24</definedName>
    <definedName name="_124h_F27">'Тарусская д.14 к.1'!$D$25</definedName>
    <definedName name="_124h_F28">'Тарусская д.14 к.1'!$D$26</definedName>
    <definedName name="_124h_F29">'Тарусская д.14 к.1'!$D$27</definedName>
    <definedName name="_124h_F30">'Тарусская д.14 к.1'!$D$28</definedName>
    <definedName name="_124h_F31">'Тарусская д.14 к.1'!$D$29</definedName>
    <definedName name="_124h_F32">'Тарусская д.14 к.1'!$D$30</definedName>
    <definedName name="_124h_F33">'Тарусская д.14 к.1'!$D$31</definedName>
    <definedName name="_124h_F34">'Тарусская д.14 к.1'!$D$32</definedName>
    <definedName name="_124h_F35">'Тарусская д.14 к.1'!$D$33</definedName>
    <definedName name="_124h_F36">'Тарусская д.14 к.1'!$D$34</definedName>
    <definedName name="_124h_F37">'Тарусская д.14 к.1'!$D$35</definedName>
    <definedName name="_124h_F38">'Тарусская д.14 к.1'!$D$36</definedName>
    <definedName name="_124h_F39">'Тарусская д.14 к.1'!$D$37</definedName>
    <definedName name="_124h_F40">'Тарусская д.14 к.1'!$D$38</definedName>
    <definedName name="_124h_F41">'Тарусская д.14 к.1'!$D$39</definedName>
    <definedName name="_124h_F42">'Тарусская д.14 к.1'!$D$40</definedName>
    <definedName name="_124h_F43">'Тарусская д.14 к.1'!$D$41</definedName>
    <definedName name="_124h_F44">'Тарусская д.14 к.1'!$D$42</definedName>
    <definedName name="_124h_F45">'Тарусская д.14 к.1'!$D$43</definedName>
    <definedName name="_124h_F46">'Тарусская д.14 к.1'!$D$44</definedName>
    <definedName name="_124h_F47">'Тарусская д.14 к.1'!$D$45</definedName>
    <definedName name="_124h_F48">'Тарусская д.14 к.1'!$D$46</definedName>
    <definedName name="_124h_F49">'Тарусская д.14 к.1'!$D$47</definedName>
    <definedName name="_124h_F50">'Тарусская д.14 к.1'!$D$48</definedName>
    <definedName name="_124h_F51">'Тарусская д.14 к.1'!$D$49</definedName>
    <definedName name="_124h_F52">'Тарусская д.14 к.1'!#REF!</definedName>
    <definedName name="_124h_F53">'Тарусская д.14 к.1'!$D$50</definedName>
    <definedName name="_124h_F54">'Тарусская д.14 к.1'!$D$51</definedName>
    <definedName name="_124h_F55">'Тарусская д.14 к.1'!$D$52</definedName>
    <definedName name="_124h_F56">'Тарусская д.14 к.1'!$D$53</definedName>
    <definedName name="_124h_F57">'Тарусская д.14 к.1'!$D$54</definedName>
    <definedName name="_124h_F58">'Тарусская д.14 к.1'!$D$55</definedName>
    <definedName name="_124h_F59">'Тарусская д.14 к.1'!$D$56</definedName>
    <definedName name="_124h_F60">'Тарусская д.14 к.1'!$D$57</definedName>
    <definedName name="_124h_F61">'Тарусская д.14 к.1'!$D$58</definedName>
    <definedName name="_124h_F62">'Тарусская д.14 к.1'!$D$59</definedName>
    <definedName name="_124h_F63">'Тарусская д.14 к.1'!#REF!</definedName>
    <definedName name="_124h_F64">'Тарусская д.14 к.1'!$D$60</definedName>
    <definedName name="_124h_F65">'Тарусская д.14 к.1'!$D$61</definedName>
    <definedName name="_124h_F7">'Тарусская д.14 к.1'!$D$5</definedName>
    <definedName name="_124h_F8">'Тарусская д.14 к.1'!$D$6</definedName>
    <definedName name="_124h_F9">'Тарусская д.14 к.1'!$D$7</definedName>
    <definedName name="_125h_E10">'Тарусская д.14 к.2'!$C$8</definedName>
    <definedName name="_125h_E11">'Тарусская д.14 к.2'!$C$9</definedName>
    <definedName name="_125h_E12">'Тарусская д.14 к.2'!$C$10</definedName>
    <definedName name="_125h_E13">'Тарусская д.14 к.2'!$C$11</definedName>
    <definedName name="_125h_E14">'Тарусская д.14 к.2'!$C$12</definedName>
    <definedName name="_125h_E15">'Тарусская д.14 к.2'!$C$13</definedName>
    <definedName name="_125h_E16">'Тарусская д.14 к.2'!$C$14</definedName>
    <definedName name="_125h_E17">'Тарусская д.14 к.2'!$C$15</definedName>
    <definedName name="_125h_E18">'Тарусская д.14 к.2'!$C$16</definedName>
    <definedName name="_125h_E19">'Тарусская д.14 к.2'!$C$17</definedName>
    <definedName name="_125h_E20">'Тарусская д.14 к.2'!$C$18</definedName>
    <definedName name="_125h_E21">'Тарусская д.14 к.2'!$C$19</definedName>
    <definedName name="_125h_E22">'Тарусская д.14 к.2'!$C$20</definedName>
    <definedName name="_125h_E23">'Тарусская д.14 к.2'!$C$21</definedName>
    <definedName name="_125h_E24">'Тарусская д.14 к.2'!$C$22</definedName>
    <definedName name="_125h_E25">'Тарусская д.14 к.2'!$C$23</definedName>
    <definedName name="_125h_E26">'Тарусская д.14 к.2'!$C$24</definedName>
    <definedName name="_125h_E27">'Тарусская д.14 к.2'!$C$25</definedName>
    <definedName name="_125h_E28">'Тарусская д.14 к.2'!$C$26</definedName>
    <definedName name="_125h_E29">'Тарусская д.14 к.2'!$C$27</definedName>
    <definedName name="_125h_E30">'Тарусская д.14 к.2'!$C$28</definedName>
    <definedName name="_125h_E31">'Тарусская д.14 к.2'!$C$29</definedName>
    <definedName name="_125h_E32">'Тарусская д.14 к.2'!$C$30</definedName>
    <definedName name="_125h_E33">'Тарусская д.14 к.2'!$C$31</definedName>
    <definedName name="_125h_E34">'Тарусская д.14 к.2'!$C$32</definedName>
    <definedName name="_125h_E35">'Тарусская д.14 к.2'!$C$33</definedName>
    <definedName name="_125h_E36">'Тарусская д.14 к.2'!$C$34</definedName>
    <definedName name="_125h_E37">'Тарусская д.14 к.2'!$C$35</definedName>
    <definedName name="_125h_E38">'Тарусская д.14 к.2'!$C$36</definedName>
    <definedName name="_125h_E39">'Тарусская д.14 к.2'!$C$37</definedName>
    <definedName name="_125h_E40">'Тарусская д.14 к.2'!$C$38</definedName>
    <definedName name="_125h_E41">'Тарусская д.14 к.2'!$C$39</definedName>
    <definedName name="_125h_E42">'Тарусская д.14 к.2'!$C$40</definedName>
    <definedName name="_125h_E43">'Тарусская д.14 к.2'!$C$41</definedName>
    <definedName name="_125h_E44">'Тарусская д.14 к.2'!$C$42</definedName>
    <definedName name="_125h_E45">'Тарусская д.14 к.2'!$C$43</definedName>
    <definedName name="_125h_E46">'Тарусская д.14 к.2'!$C$44</definedName>
    <definedName name="_125h_E47">'Тарусская д.14 к.2'!$C$45</definedName>
    <definedName name="_125h_E48">'Тарусская д.14 к.2'!$C$46</definedName>
    <definedName name="_125h_E49">'Тарусская д.14 к.2'!$C$47</definedName>
    <definedName name="_125h_E50">'Тарусская д.14 к.2'!$C$48</definedName>
    <definedName name="_125h_E51">'Тарусская д.14 к.2'!$C$49</definedName>
    <definedName name="_125h_E52">'Тарусская д.14 к.2'!#REF!</definedName>
    <definedName name="_125h_E53">'Тарусская д.14 к.2'!$C$50</definedName>
    <definedName name="_125h_E54">'Тарусская д.14 к.2'!$C$51</definedName>
    <definedName name="_125h_E55">'Тарусская д.14 к.2'!$C$52</definedName>
    <definedName name="_125h_E56">'Тарусская д.14 к.2'!$C$53</definedName>
    <definedName name="_125h_E57">'Тарусская д.14 к.2'!$C$54</definedName>
    <definedName name="_125h_E58">'Тарусская д.14 к.2'!$C$55</definedName>
    <definedName name="_125h_E59">'Тарусская д.14 к.2'!$C$56</definedName>
    <definedName name="_125h_E60">'Тарусская д.14 к.2'!$C$57</definedName>
    <definedName name="_125h_E61">'Тарусская д.14 к.2'!$C$58</definedName>
    <definedName name="_125h_E62">'Тарусская д.14 к.2'!$C$59</definedName>
    <definedName name="_125h_E63">'Тарусская д.14 к.2'!#REF!</definedName>
    <definedName name="_125h_E64">'Тарусская д.14 к.2'!$C$60</definedName>
    <definedName name="_125h_E65">'Тарусская д.14 к.2'!$C$61</definedName>
    <definedName name="_125h_E7">'Тарусская д.14 к.2'!$C$5</definedName>
    <definedName name="_125h_E8">'Тарусская д.14 к.2'!$C$6</definedName>
    <definedName name="_125h_E9">'Тарусская д.14 к.2'!$C$7</definedName>
    <definedName name="_125h_F10">'Тарусская д.14 к.2'!$D$8</definedName>
    <definedName name="_125h_F11">'Тарусская д.14 к.2'!$D$9</definedName>
    <definedName name="_125h_F12">'Тарусская д.14 к.2'!$D$10</definedName>
    <definedName name="_125h_F13">'Тарусская д.14 к.2'!$D$11</definedName>
    <definedName name="_125h_F14">'Тарусская д.14 к.2'!$D$12</definedName>
    <definedName name="_125h_F15">'Тарусская д.14 к.2'!$D$13</definedName>
    <definedName name="_125h_F16">'Тарусская д.14 к.2'!$D$14</definedName>
    <definedName name="_125h_F17">'Тарусская д.14 к.2'!$D$15</definedName>
    <definedName name="_125h_F18">'Тарусская д.14 к.2'!$D$16</definedName>
    <definedName name="_125h_F19">'Тарусская д.14 к.2'!$D$17</definedName>
    <definedName name="_125h_F20">'Тарусская д.14 к.2'!$D$18</definedName>
    <definedName name="_125h_F21">'Тарусская д.14 к.2'!$D$19</definedName>
    <definedName name="_125h_F22">'Тарусская д.14 к.2'!$D$20</definedName>
    <definedName name="_125h_F23">'Тарусская д.14 к.2'!$D$21</definedName>
    <definedName name="_125h_F24">'Тарусская д.14 к.2'!$D$22</definedName>
    <definedName name="_125h_F25">'Тарусская д.14 к.2'!$D$23</definedName>
    <definedName name="_125h_F26">'Тарусская д.14 к.2'!$D$24</definedName>
    <definedName name="_125h_F27">'Тарусская д.14 к.2'!$D$25</definedName>
    <definedName name="_125h_F28">'Тарусская д.14 к.2'!$D$26</definedName>
    <definedName name="_125h_F29">'Тарусская д.14 к.2'!$D$27</definedName>
    <definedName name="_125h_F30">'Тарусская д.14 к.2'!$D$28</definedName>
    <definedName name="_125h_F31">'Тарусская д.14 к.2'!$D$29</definedName>
    <definedName name="_125h_F32">'Тарусская д.14 к.2'!$D$30</definedName>
    <definedName name="_125h_F33">'Тарусская д.14 к.2'!$D$31</definedName>
    <definedName name="_125h_F34">'Тарусская д.14 к.2'!$D$32</definedName>
    <definedName name="_125h_F35">'Тарусская д.14 к.2'!$D$33</definedName>
    <definedName name="_125h_F36">'Тарусская д.14 к.2'!$D$34</definedName>
    <definedName name="_125h_F37">'Тарусская д.14 к.2'!$D$35</definedName>
    <definedName name="_125h_F38">'Тарусская д.14 к.2'!$D$36</definedName>
    <definedName name="_125h_F39">'Тарусская д.14 к.2'!$D$37</definedName>
    <definedName name="_125h_F40">'Тарусская д.14 к.2'!$D$38</definedName>
    <definedName name="_125h_F41">'Тарусская д.14 к.2'!$D$39</definedName>
    <definedName name="_125h_F42">'Тарусская д.14 к.2'!$D$40</definedName>
    <definedName name="_125h_F43">'Тарусская д.14 к.2'!$D$41</definedName>
    <definedName name="_125h_F44">'Тарусская д.14 к.2'!$D$42</definedName>
    <definedName name="_125h_F45">'Тарусская д.14 к.2'!$D$43</definedName>
    <definedName name="_125h_F46">'Тарусская д.14 к.2'!$D$44</definedName>
    <definedName name="_125h_F47">'Тарусская д.14 к.2'!$D$45</definedName>
    <definedName name="_125h_F48">'Тарусская д.14 к.2'!$D$46</definedName>
    <definedName name="_125h_F49">'Тарусская д.14 к.2'!$D$47</definedName>
    <definedName name="_125h_F50">'Тарусская д.14 к.2'!$D$48</definedName>
    <definedName name="_125h_F51">'Тарусская д.14 к.2'!$D$49</definedName>
    <definedName name="_125h_F52">'Тарусская д.14 к.2'!#REF!</definedName>
    <definedName name="_125h_F53">'Тарусская д.14 к.2'!$D$50</definedName>
    <definedName name="_125h_F54">'Тарусская д.14 к.2'!$D$51</definedName>
    <definedName name="_125h_F55">'Тарусская д.14 к.2'!$D$52</definedName>
    <definedName name="_125h_F56">'Тарусская д.14 к.2'!$D$53</definedName>
    <definedName name="_125h_F57">'Тарусская д.14 к.2'!$D$54</definedName>
    <definedName name="_125h_F58">'Тарусская д.14 к.2'!$D$55</definedName>
    <definedName name="_125h_F59">'Тарусская д.14 к.2'!$D$56</definedName>
    <definedName name="_125h_F60">'Тарусская д.14 к.2'!$D$57</definedName>
    <definedName name="_125h_F61">'Тарусская д.14 к.2'!$D$58</definedName>
    <definedName name="_125h_F62">'Тарусская д.14 к.2'!$D$59</definedName>
    <definedName name="_125h_F63">'Тарусская д.14 к.2'!#REF!</definedName>
    <definedName name="_125h_F64">'Тарусская д.14 к.2'!$D$60</definedName>
    <definedName name="_125h_F65">'Тарусская д.14 к.2'!$D$61</definedName>
    <definedName name="_125h_F7">'Тарусская д.14 к.2'!$D$5</definedName>
    <definedName name="_125h_F8">'Тарусская д.14 к.2'!$D$6</definedName>
    <definedName name="_125h_F9">'Тарусская д.14 к.2'!$D$7</definedName>
    <definedName name="_126h_E10">'Тарусская д.18 к.1'!$C$8</definedName>
    <definedName name="_126h_E11">'Тарусская д.18 к.1'!$C$9</definedName>
    <definedName name="_126h_E12">'Тарусская д.18 к.1'!$C$10</definedName>
    <definedName name="_126h_E13">'Тарусская д.18 к.1'!$C$11</definedName>
    <definedName name="_126h_E14">'Тарусская д.18 к.1'!$C$12</definedName>
    <definedName name="_126h_E15">'Тарусская д.18 к.1'!$C$13</definedName>
    <definedName name="_126h_E16">'Тарусская д.18 к.1'!$C$14</definedName>
    <definedName name="_126h_E17">'Тарусская д.18 к.1'!$C$15</definedName>
    <definedName name="_126h_E18">'Тарусская д.18 к.1'!$C$16</definedName>
    <definedName name="_126h_E19">'Тарусская д.18 к.1'!$C$17</definedName>
    <definedName name="_126h_E20">'Тарусская д.18 к.1'!$C$18</definedName>
    <definedName name="_126h_E21">'Тарусская д.18 к.1'!$C$19</definedName>
    <definedName name="_126h_E22">'Тарусская д.18 к.1'!$C$20</definedName>
    <definedName name="_126h_E23">'Тарусская д.18 к.1'!$C$21</definedName>
    <definedName name="_126h_E24">'Тарусская д.18 к.1'!$C$22</definedName>
    <definedName name="_126h_E25">'Тарусская д.18 к.1'!$C$23</definedName>
    <definedName name="_126h_E26">'Тарусская д.18 к.1'!$C$24</definedName>
    <definedName name="_126h_E27">'Тарусская д.18 к.1'!$C$25</definedName>
    <definedName name="_126h_E28">'Тарусская д.18 к.1'!$C$26</definedName>
    <definedName name="_126h_E29">'Тарусская д.18 к.1'!$C$27</definedName>
    <definedName name="_126h_E30">'Тарусская д.18 к.1'!$C$28</definedName>
    <definedName name="_126h_E31">'Тарусская д.18 к.1'!$C$29</definedName>
    <definedName name="_126h_E32">'Тарусская д.18 к.1'!$C$30</definedName>
    <definedName name="_126h_E33">'Тарусская д.18 к.1'!$C$31</definedName>
    <definedName name="_126h_E34">'Тарусская д.18 к.1'!$C$32</definedName>
    <definedName name="_126h_E35">'Тарусская д.18 к.1'!$C$33</definedName>
    <definedName name="_126h_E36">'Тарусская д.18 к.1'!$C$34</definedName>
    <definedName name="_126h_E37">'Тарусская д.18 к.1'!$C$35</definedName>
    <definedName name="_126h_E38">'Тарусская д.18 к.1'!$C$36</definedName>
    <definedName name="_126h_E39">'Тарусская д.18 к.1'!$C$37</definedName>
    <definedName name="_126h_E40">'Тарусская д.18 к.1'!$C$38</definedName>
    <definedName name="_126h_E41">'Тарусская д.18 к.1'!$C$39</definedName>
    <definedName name="_126h_E42">'Тарусская д.18 к.1'!$C$40</definedName>
    <definedName name="_126h_E43">'Тарусская д.18 к.1'!$C$41</definedName>
    <definedName name="_126h_E44">'Тарусская д.18 к.1'!$C$42</definedName>
    <definedName name="_126h_E45">'Тарусская д.18 к.1'!$C$43</definedName>
    <definedName name="_126h_E46">'Тарусская д.18 к.1'!$C$44</definedName>
    <definedName name="_126h_E47">'Тарусская д.18 к.1'!$C$45</definedName>
    <definedName name="_126h_E48">'Тарусская д.18 к.1'!$C$46</definedName>
    <definedName name="_126h_E49">'Тарусская д.18 к.1'!$C$47</definedName>
    <definedName name="_126h_E50">'Тарусская д.18 к.1'!$C$48</definedName>
    <definedName name="_126h_E51">'Тарусская д.18 к.1'!$C$49</definedName>
    <definedName name="_126h_E52">'Тарусская д.18 к.1'!#REF!</definedName>
    <definedName name="_126h_E53">'Тарусская д.18 к.1'!$C$50</definedName>
    <definedName name="_126h_E54">'Тарусская д.18 к.1'!$C$51</definedName>
    <definedName name="_126h_E55">'Тарусская д.18 к.1'!$C$52</definedName>
    <definedName name="_126h_E56">'Тарусская д.18 к.1'!$C$53</definedName>
    <definedName name="_126h_E57">'Тарусская д.18 к.1'!$C$54</definedName>
    <definedName name="_126h_E58">'Тарусская д.18 к.1'!$C$55</definedName>
    <definedName name="_126h_E59">'Тарусская д.18 к.1'!$C$56</definedName>
    <definedName name="_126h_E60">'Тарусская д.18 к.1'!$C$57</definedName>
    <definedName name="_126h_E61">'Тарусская д.18 к.1'!$C$58</definedName>
    <definedName name="_126h_E62">'Тарусская д.18 к.1'!$C$59</definedName>
    <definedName name="_126h_E63">'Тарусская д.18 к.1'!#REF!</definedName>
    <definedName name="_126h_E64">'Тарусская д.18 к.1'!$C$60</definedName>
    <definedName name="_126h_E65">'Тарусская д.18 к.1'!$C$61</definedName>
    <definedName name="_126h_E7">'Тарусская д.18 к.1'!$C$5</definedName>
    <definedName name="_126h_E8">'Тарусская д.18 к.1'!$C$6</definedName>
    <definedName name="_126h_E9">'Тарусская д.18 к.1'!$C$7</definedName>
    <definedName name="_126h_F10">'Тарусская д.18 к.1'!$D$8</definedName>
    <definedName name="_126h_F11">'Тарусская д.18 к.1'!$D$9</definedName>
    <definedName name="_126h_F12">'Тарусская д.18 к.1'!$D$10</definedName>
    <definedName name="_126h_F13">'Тарусская д.18 к.1'!$D$11</definedName>
    <definedName name="_126h_F14">'Тарусская д.18 к.1'!$D$12</definedName>
    <definedName name="_126h_F15">'Тарусская д.18 к.1'!$D$13</definedName>
    <definedName name="_126h_F16">'Тарусская д.18 к.1'!$D$14</definedName>
    <definedName name="_126h_F17">'Тарусская д.18 к.1'!$D$15</definedName>
    <definedName name="_126h_F18">'Тарусская д.18 к.1'!$D$16</definedName>
    <definedName name="_126h_F19">'Тарусская д.18 к.1'!$D$17</definedName>
    <definedName name="_126h_F20">'Тарусская д.18 к.1'!$D$18</definedName>
    <definedName name="_126h_F21">'Тарусская д.18 к.1'!$D$19</definedName>
    <definedName name="_126h_F22">'Тарусская д.18 к.1'!$D$20</definedName>
    <definedName name="_126h_F23">'Тарусская д.18 к.1'!$D$21</definedName>
    <definedName name="_126h_F24">'Тарусская д.18 к.1'!$D$22</definedName>
    <definedName name="_126h_F25">'Тарусская д.18 к.1'!$D$23</definedName>
    <definedName name="_126h_F26">'Тарусская д.18 к.1'!$D$24</definedName>
    <definedName name="_126h_F27">'Тарусская д.18 к.1'!$D$25</definedName>
    <definedName name="_126h_F28">'Тарусская д.18 к.1'!$D$26</definedName>
    <definedName name="_126h_F29">'Тарусская д.18 к.1'!$D$27</definedName>
    <definedName name="_126h_F30">'Тарусская д.18 к.1'!$D$28</definedName>
    <definedName name="_126h_F31">'Тарусская д.18 к.1'!$D$29</definedName>
    <definedName name="_126h_F32">'Тарусская д.18 к.1'!$D$30</definedName>
    <definedName name="_126h_F33">'Тарусская д.18 к.1'!$D$31</definedName>
    <definedName name="_126h_F34">'Тарусская д.18 к.1'!$D$32</definedName>
    <definedName name="_126h_F35">'Тарусская д.18 к.1'!$D$33</definedName>
    <definedName name="_126h_F36">'Тарусская д.18 к.1'!$D$34</definedName>
    <definedName name="_126h_F37">'Тарусская д.18 к.1'!$D$35</definedName>
    <definedName name="_126h_F38">'Тарусская д.18 к.1'!$D$36</definedName>
    <definedName name="_126h_F39">'Тарусская д.18 к.1'!$D$37</definedName>
    <definedName name="_126h_F40">'Тарусская д.18 к.1'!$D$38</definedName>
    <definedName name="_126h_F41">'Тарусская д.18 к.1'!$D$39</definedName>
    <definedName name="_126h_F42">'Тарусская д.18 к.1'!$D$40</definedName>
    <definedName name="_126h_F43">'Тарусская д.18 к.1'!$D$41</definedName>
    <definedName name="_126h_F44">'Тарусская д.18 к.1'!$D$42</definedName>
    <definedName name="_126h_F45">'Тарусская д.18 к.1'!$D$43</definedName>
    <definedName name="_126h_F46">'Тарусская д.18 к.1'!$D$44</definedName>
    <definedName name="_126h_F47">'Тарусская д.18 к.1'!$D$45</definedName>
    <definedName name="_126h_F48">'Тарусская д.18 к.1'!$D$46</definedName>
    <definedName name="_126h_F49">'Тарусская д.18 к.1'!$D$47</definedName>
    <definedName name="_126h_F50">'Тарусская д.18 к.1'!$D$48</definedName>
    <definedName name="_126h_F51">'Тарусская д.18 к.1'!$D$49</definedName>
    <definedName name="_126h_F52">'Тарусская д.18 к.1'!#REF!</definedName>
    <definedName name="_126h_F53">'Тарусская д.18 к.1'!$D$50</definedName>
    <definedName name="_126h_F54">'Тарусская д.18 к.1'!$D$51</definedName>
    <definedName name="_126h_F55">'Тарусская д.18 к.1'!$D$52</definedName>
    <definedName name="_126h_F56">'Тарусская д.18 к.1'!$D$53</definedName>
    <definedName name="_126h_F57">'Тарусская д.18 к.1'!$D$54</definedName>
    <definedName name="_126h_F58">'Тарусская д.18 к.1'!$D$55</definedName>
    <definedName name="_126h_F59">'Тарусская д.18 к.1'!$D$56</definedName>
    <definedName name="_126h_F60">'Тарусская д.18 к.1'!$D$57</definedName>
    <definedName name="_126h_F61">'Тарусская д.18 к.1'!$D$58</definedName>
    <definedName name="_126h_F62">'Тарусская д.18 к.1'!$D$59</definedName>
    <definedName name="_126h_F63">'Тарусская д.18 к.1'!#REF!</definedName>
    <definedName name="_126h_F64">'Тарусская д.18 к.1'!$D$60</definedName>
    <definedName name="_126h_F65">'Тарусская д.18 к.1'!$D$61</definedName>
    <definedName name="_126h_F7">'Тарусская д.18 к.1'!$D$5</definedName>
    <definedName name="_126h_F8">'Тарусская д.18 к.1'!$D$6</definedName>
    <definedName name="_126h_F9">'Тарусская д.18 к.1'!$D$7</definedName>
    <definedName name="_127h_E10">'Тарусская д.18 к.2'!$C$8</definedName>
    <definedName name="_127h_E11">'Тарусская д.18 к.2'!$C$9</definedName>
    <definedName name="_127h_E12">'Тарусская д.18 к.2'!$C$10</definedName>
    <definedName name="_127h_E13">'Тарусская д.18 к.2'!$C$11</definedName>
    <definedName name="_127h_E14">'Тарусская д.18 к.2'!$C$12</definedName>
    <definedName name="_127h_E15">'Тарусская д.18 к.2'!$C$13</definedName>
    <definedName name="_127h_E16">'Тарусская д.18 к.2'!$C$14</definedName>
    <definedName name="_127h_E17">'Тарусская д.18 к.2'!$C$15</definedName>
    <definedName name="_127h_E18">'Тарусская д.18 к.2'!$C$16</definedName>
    <definedName name="_127h_E19">'Тарусская д.18 к.2'!$C$17</definedName>
    <definedName name="_127h_E20">'Тарусская д.18 к.2'!$C$18</definedName>
    <definedName name="_127h_E21">'Тарусская д.18 к.2'!$C$19</definedName>
    <definedName name="_127h_E22">'Тарусская д.18 к.2'!$C$20</definedName>
    <definedName name="_127h_E23">'Тарусская д.18 к.2'!$C$21</definedName>
    <definedName name="_127h_E24">'Тарусская д.18 к.2'!$C$22</definedName>
    <definedName name="_127h_E25">'Тарусская д.18 к.2'!$C$23</definedName>
    <definedName name="_127h_E26">'Тарусская д.18 к.2'!$C$24</definedName>
    <definedName name="_127h_E27">'Тарусская д.18 к.2'!$C$25</definedName>
    <definedName name="_127h_E28">'Тарусская д.18 к.2'!$C$26</definedName>
    <definedName name="_127h_E29">'Тарусская д.18 к.2'!$C$27</definedName>
    <definedName name="_127h_E30">'Тарусская д.18 к.2'!$C$28</definedName>
    <definedName name="_127h_E31">'Тарусская д.18 к.2'!$C$29</definedName>
    <definedName name="_127h_E32">'Тарусская д.18 к.2'!$C$30</definedName>
    <definedName name="_127h_E33">'Тарусская д.18 к.2'!$C$31</definedName>
    <definedName name="_127h_E34">'Тарусская д.18 к.2'!$C$32</definedName>
    <definedName name="_127h_E35">'Тарусская д.18 к.2'!$C$33</definedName>
    <definedName name="_127h_E36">'Тарусская д.18 к.2'!$C$34</definedName>
    <definedName name="_127h_E37">'Тарусская д.18 к.2'!$C$35</definedName>
    <definedName name="_127h_E38">'Тарусская д.18 к.2'!$C$36</definedName>
    <definedName name="_127h_E39">'Тарусская д.18 к.2'!$C$37</definedName>
    <definedName name="_127h_E40">'Тарусская д.18 к.2'!$C$38</definedName>
    <definedName name="_127h_E41">'Тарусская д.18 к.2'!$C$39</definedName>
    <definedName name="_127h_E42">'Тарусская д.18 к.2'!$C$40</definedName>
    <definedName name="_127h_E43">'Тарусская д.18 к.2'!$C$41</definedName>
    <definedName name="_127h_E44">'Тарусская д.18 к.2'!$C$42</definedName>
    <definedName name="_127h_E45">'Тарусская д.18 к.2'!$C$43</definedName>
    <definedName name="_127h_E46">'Тарусская д.18 к.2'!$C$44</definedName>
    <definedName name="_127h_E47">'Тарусская д.18 к.2'!$C$45</definedName>
    <definedName name="_127h_E48">'Тарусская д.18 к.2'!$C$46</definedName>
    <definedName name="_127h_E49">'Тарусская д.18 к.2'!$C$47</definedName>
    <definedName name="_127h_E50">'Тарусская д.18 к.2'!$C$48</definedName>
    <definedName name="_127h_E51">'Тарусская д.18 к.2'!$C$49</definedName>
    <definedName name="_127h_E52">'Тарусская д.18 к.2'!#REF!</definedName>
    <definedName name="_127h_E53">'Тарусская д.18 к.2'!$C$50</definedName>
    <definedName name="_127h_E54">'Тарусская д.18 к.2'!$C$51</definedName>
    <definedName name="_127h_E55">'Тарусская д.18 к.2'!$C$52</definedName>
    <definedName name="_127h_E56">'Тарусская д.18 к.2'!$C$53</definedName>
    <definedName name="_127h_E57">'Тарусская д.18 к.2'!$C$54</definedName>
    <definedName name="_127h_E58">'Тарусская д.18 к.2'!$C$55</definedName>
    <definedName name="_127h_E59">'Тарусская д.18 к.2'!$C$56</definedName>
    <definedName name="_127h_E60">'Тарусская д.18 к.2'!$C$57</definedName>
    <definedName name="_127h_E61">'Тарусская д.18 к.2'!$C$58</definedName>
    <definedName name="_127h_E62">'Тарусская д.18 к.2'!$C$59</definedName>
    <definedName name="_127h_E63">'Тарусская д.18 к.2'!#REF!</definedName>
    <definedName name="_127h_E64">'Тарусская д.18 к.2'!$C$60</definedName>
    <definedName name="_127h_E65">'Тарусская д.18 к.2'!$C$61</definedName>
    <definedName name="_127h_E7">'Тарусская д.18 к.2'!$C$5</definedName>
    <definedName name="_127h_E8">'Тарусская д.18 к.2'!$C$6</definedName>
    <definedName name="_127h_E9">'Тарусская д.18 к.2'!$C$7</definedName>
    <definedName name="_127h_F10">'Тарусская д.18 к.2'!$D$8</definedName>
    <definedName name="_127h_F11">'Тарусская д.18 к.2'!$D$9</definedName>
    <definedName name="_127h_F12">'Тарусская д.18 к.2'!$D$10</definedName>
    <definedName name="_127h_F13">'Тарусская д.18 к.2'!$D$11</definedName>
    <definedName name="_127h_F14">'Тарусская д.18 к.2'!$D$12</definedName>
    <definedName name="_127h_F15">'Тарусская д.18 к.2'!$D$13</definedName>
    <definedName name="_127h_F16">'Тарусская д.18 к.2'!$D$14</definedName>
    <definedName name="_127h_F17">'Тарусская д.18 к.2'!$D$15</definedName>
    <definedName name="_127h_F18">'Тарусская д.18 к.2'!$D$16</definedName>
    <definedName name="_127h_F19">'Тарусская д.18 к.2'!$D$17</definedName>
    <definedName name="_127h_F20">'Тарусская д.18 к.2'!$D$18</definedName>
    <definedName name="_127h_F21">'Тарусская д.18 к.2'!$D$19</definedName>
    <definedName name="_127h_F22">'Тарусская д.18 к.2'!$D$20</definedName>
    <definedName name="_127h_F23">'Тарусская д.18 к.2'!$D$21</definedName>
    <definedName name="_127h_F24">'Тарусская д.18 к.2'!$D$22</definedName>
    <definedName name="_127h_F25">'Тарусская д.18 к.2'!$D$23</definedName>
    <definedName name="_127h_F26">'Тарусская д.18 к.2'!$D$24</definedName>
    <definedName name="_127h_F27">'Тарусская д.18 к.2'!$D$25</definedName>
    <definedName name="_127h_F28">'Тарусская д.18 к.2'!$D$26</definedName>
    <definedName name="_127h_F29">'Тарусская д.18 к.2'!$D$27</definedName>
    <definedName name="_127h_F30">'Тарусская д.18 к.2'!$D$28</definedName>
    <definedName name="_127h_F31">'Тарусская д.18 к.2'!$D$29</definedName>
    <definedName name="_127h_F32">'Тарусская д.18 к.2'!$D$30</definedName>
    <definedName name="_127h_F33">'Тарусская д.18 к.2'!$D$31</definedName>
    <definedName name="_127h_F34">'Тарусская д.18 к.2'!$D$32</definedName>
    <definedName name="_127h_F35">'Тарусская д.18 к.2'!$D$33</definedName>
    <definedName name="_127h_F36">'Тарусская д.18 к.2'!$D$34</definedName>
    <definedName name="_127h_F37">'Тарусская д.18 к.2'!$D$35</definedName>
    <definedName name="_127h_F38">'Тарусская д.18 к.2'!$D$36</definedName>
    <definedName name="_127h_F39">'Тарусская д.18 к.2'!$D$37</definedName>
    <definedName name="_127h_F40">'Тарусская д.18 к.2'!$D$38</definedName>
    <definedName name="_127h_F41">'Тарусская д.18 к.2'!$D$39</definedName>
    <definedName name="_127h_F42">'Тарусская д.18 к.2'!$D$40</definedName>
    <definedName name="_127h_F43">'Тарусская д.18 к.2'!$D$41</definedName>
    <definedName name="_127h_F44">'Тарусская д.18 к.2'!$D$42</definedName>
    <definedName name="_127h_F45">'Тарусская д.18 к.2'!$D$43</definedName>
    <definedName name="_127h_F46">'Тарусская д.18 к.2'!$D$44</definedName>
    <definedName name="_127h_F47">'Тарусская д.18 к.2'!$D$45</definedName>
    <definedName name="_127h_F48">'Тарусская д.18 к.2'!$D$46</definedName>
    <definedName name="_127h_F49">'Тарусская д.18 к.2'!$D$47</definedName>
    <definedName name="_127h_F50">'Тарусская д.18 к.2'!$D$48</definedName>
    <definedName name="_127h_F51">'Тарусская д.18 к.2'!$D$49</definedName>
    <definedName name="_127h_F52">'Тарусская д.18 к.2'!#REF!</definedName>
    <definedName name="_127h_F53">'Тарусская д.18 к.2'!$D$50</definedName>
    <definedName name="_127h_F54">'Тарусская д.18 к.2'!$D$51</definedName>
    <definedName name="_127h_F55">'Тарусская д.18 к.2'!$D$52</definedName>
    <definedName name="_127h_F56">'Тарусская д.18 к.2'!$D$53</definedName>
    <definedName name="_127h_F57">'Тарусская д.18 к.2'!$D$54</definedName>
    <definedName name="_127h_F58">'Тарусская д.18 к.2'!$D$55</definedName>
    <definedName name="_127h_F59">'Тарусская д.18 к.2'!$D$56</definedName>
    <definedName name="_127h_F60">'Тарусская д.18 к.2'!$D$57</definedName>
    <definedName name="_127h_F61">'Тарусская д.18 к.2'!$D$58</definedName>
    <definedName name="_127h_F62">'Тарусская д.18 к.2'!$D$59</definedName>
    <definedName name="_127h_F63">'Тарусская д.18 к.2'!#REF!</definedName>
    <definedName name="_127h_F64">'Тарусская д.18 к.2'!$D$60</definedName>
    <definedName name="_127h_F65">'Тарусская д.18 к.2'!$D$61</definedName>
    <definedName name="_127h_F7">'Тарусская д.18 к.2'!$D$5</definedName>
    <definedName name="_127h_F8">'Тарусская д.18 к.2'!$D$6</definedName>
    <definedName name="_127h_F9">'Тарусская д.18 к.2'!$D$7</definedName>
    <definedName name="_128h_E10">'Тарусская д.22 к.2'!$C$8</definedName>
    <definedName name="_128h_E11">'Тарусская д.22 к.2'!$C$9</definedName>
    <definedName name="_128h_E12">'Тарусская д.22 к.2'!$C$10</definedName>
    <definedName name="_128h_E13">'Тарусская д.22 к.2'!$C$11</definedName>
    <definedName name="_128h_E14">'Тарусская д.22 к.2'!$C$12</definedName>
    <definedName name="_128h_E15">'Тарусская д.22 к.2'!$C$13</definedName>
    <definedName name="_128h_E16">'Тарусская д.22 к.2'!$C$14</definedName>
    <definedName name="_128h_E17">'Тарусская д.22 к.2'!$C$15</definedName>
    <definedName name="_128h_E18">'Тарусская д.22 к.2'!$C$16</definedName>
    <definedName name="_128h_E19">'Тарусская д.22 к.2'!$C$17</definedName>
    <definedName name="_128h_E20">'Тарусская д.22 к.2'!$C$18</definedName>
    <definedName name="_128h_E21">'Тарусская д.22 к.2'!$C$19</definedName>
    <definedName name="_128h_E22">'Тарусская д.22 к.2'!$C$20</definedName>
    <definedName name="_128h_E23">'Тарусская д.22 к.2'!$C$21</definedName>
    <definedName name="_128h_E24">'Тарусская д.22 к.2'!$C$22</definedName>
    <definedName name="_128h_E25">'Тарусская д.22 к.2'!$C$23</definedName>
    <definedName name="_128h_E26">'Тарусская д.22 к.2'!$C$24</definedName>
    <definedName name="_128h_E27">'Тарусская д.22 к.2'!$C$25</definedName>
    <definedName name="_128h_E28">'Тарусская д.22 к.2'!$C$26</definedName>
    <definedName name="_128h_E29">'Тарусская д.22 к.2'!$C$27</definedName>
    <definedName name="_128h_E30">'Тарусская д.22 к.2'!$C$28</definedName>
    <definedName name="_128h_E31">'Тарусская д.22 к.2'!$C$29</definedName>
    <definedName name="_128h_E32">'Тарусская д.22 к.2'!$C$30</definedName>
    <definedName name="_128h_E33">'Тарусская д.22 к.2'!$C$31</definedName>
    <definedName name="_128h_E34">'Тарусская д.22 к.2'!$C$32</definedName>
    <definedName name="_128h_E35">'Тарусская д.22 к.2'!$C$33</definedName>
    <definedName name="_128h_E36">'Тарусская д.22 к.2'!$C$34</definedName>
    <definedName name="_128h_E37">'Тарусская д.22 к.2'!$C$35</definedName>
    <definedName name="_128h_E38">'Тарусская д.22 к.2'!$C$36</definedName>
    <definedName name="_128h_E39">'Тарусская д.22 к.2'!$C$37</definedName>
    <definedName name="_128h_E40">'Тарусская д.22 к.2'!$C$38</definedName>
    <definedName name="_128h_E41">'Тарусская д.22 к.2'!$C$39</definedName>
    <definedName name="_128h_E42">'Тарусская д.22 к.2'!$C$40</definedName>
    <definedName name="_128h_E43">'Тарусская д.22 к.2'!$C$41</definedName>
    <definedName name="_128h_E44">'Тарусская д.22 к.2'!$C$42</definedName>
    <definedName name="_128h_E45">'Тарусская д.22 к.2'!$C$43</definedName>
    <definedName name="_128h_E46">'Тарусская д.22 к.2'!$C$44</definedName>
    <definedName name="_128h_E47">'Тарусская д.22 к.2'!$C$45</definedName>
    <definedName name="_128h_E48">'Тарусская д.22 к.2'!$C$46</definedName>
    <definedName name="_128h_E49">'Тарусская д.22 к.2'!$C$47</definedName>
    <definedName name="_128h_E50">'Тарусская д.22 к.2'!$C$48</definedName>
    <definedName name="_128h_E51">'Тарусская д.22 к.2'!$C$49</definedName>
    <definedName name="_128h_E52">'Тарусская д.22 к.2'!#REF!</definedName>
    <definedName name="_128h_E53">'Тарусская д.22 к.2'!$C$50</definedName>
    <definedName name="_128h_E54">'Тарусская д.22 к.2'!$C$51</definedName>
    <definedName name="_128h_E55">'Тарусская д.22 к.2'!$C$52</definedName>
    <definedName name="_128h_E56">'Тарусская д.22 к.2'!$C$53</definedName>
    <definedName name="_128h_E57">'Тарусская д.22 к.2'!$C$54</definedName>
    <definedName name="_128h_E58">'Тарусская д.22 к.2'!$C$55</definedName>
    <definedName name="_128h_E59">'Тарусская д.22 к.2'!$C$56</definedName>
    <definedName name="_128h_E60">'Тарусская д.22 к.2'!$C$57</definedName>
    <definedName name="_128h_E61">'Тарусская д.22 к.2'!$C$58</definedName>
    <definedName name="_128h_E62">'Тарусская д.22 к.2'!$C$59</definedName>
    <definedName name="_128h_E63">'Тарусская д.22 к.2'!#REF!</definedName>
    <definedName name="_128h_E64">'Тарусская д.22 к.2'!$C$60</definedName>
    <definedName name="_128h_E65">'Тарусская д.22 к.2'!$C$61</definedName>
    <definedName name="_128h_E7">'Тарусская д.22 к.2'!$C$5</definedName>
    <definedName name="_128h_E8">'Тарусская д.22 к.2'!$C$6</definedName>
    <definedName name="_128h_E9">'Тарусская д.22 к.2'!$C$7</definedName>
    <definedName name="_128h_F10">'Тарусская д.22 к.2'!$D$8</definedName>
    <definedName name="_128h_F11">'Тарусская д.22 к.2'!$D$9</definedName>
    <definedName name="_128h_F12">'Тарусская д.22 к.2'!$D$10</definedName>
    <definedName name="_128h_F13">'Тарусская д.22 к.2'!$D$11</definedName>
    <definedName name="_128h_F14">'Тарусская д.22 к.2'!$D$12</definedName>
    <definedName name="_128h_F15">'Тарусская д.22 к.2'!$D$13</definedName>
    <definedName name="_128h_F16">'Тарусская д.22 к.2'!$D$14</definedName>
    <definedName name="_128h_F17">'Тарусская д.22 к.2'!$D$15</definedName>
    <definedName name="_128h_F18">'Тарусская д.22 к.2'!$D$16</definedName>
    <definedName name="_128h_F19">'Тарусская д.22 к.2'!$D$17</definedName>
    <definedName name="_128h_F20">'Тарусская д.22 к.2'!$D$18</definedName>
    <definedName name="_128h_F21">'Тарусская д.22 к.2'!$D$19</definedName>
    <definedName name="_128h_F22">'Тарусская д.22 к.2'!$D$20</definedName>
    <definedName name="_128h_F23">'Тарусская д.22 к.2'!$D$21</definedName>
    <definedName name="_128h_F24">'Тарусская д.22 к.2'!$D$22</definedName>
    <definedName name="_128h_F25">'Тарусская д.22 к.2'!$D$23</definedName>
    <definedName name="_128h_F26">'Тарусская д.22 к.2'!$D$24</definedName>
    <definedName name="_128h_F27">'Тарусская д.22 к.2'!$D$25</definedName>
    <definedName name="_128h_F28">'Тарусская д.22 к.2'!$D$26</definedName>
    <definedName name="_128h_F29">'Тарусская д.22 к.2'!$D$27</definedName>
    <definedName name="_128h_F30">'Тарусская д.22 к.2'!$D$28</definedName>
    <definedName name="_128h_F31">'Тарусская д.22 к.2'!$D$29</definedName>
    <definedName name="_128h_F32">'Тарусская д.22 к.2'!$D$30</definedName>
    <definedName name="_128h_F33">'Тарусская д.22 к.2'!$D$31</definedName>
    <definedName name="_128h_F34">'Тарусская д.22 к.2'!$D$32</definedName>
    <definedName name="_128h_F35">'Тарусская д.22 к.2'!$D$33</definedName>
    <definedName name="_128h_F36">'Тарусская д.22 к.2'!$D$34</definedName>
    <definedName name="_128h_F37">'Тарусская д.22 к.2'!$D$35</definedName>
    <definedName name="_128h_F38">'Тарусская д.22 к.2'!$D$36</definedName>
    <definedName name="_128h_F39">'Тарусская д.22 к.2'!$D$37</definedName>
    <definedName name="_128h_F40">'Тарусская д.22 к.2'!$D$38</definedName>
    <definedName name="_128h_F41">'Тарусская д.22 к.2'!$D$39</definedName>
    <definedName name="_128h_F42">'Тарусская д.22 к.2'!$D$40</definedName>
    <definedName name="_128h_F43">'Тарусская д.22 к.2'!$D$41</definedName>
    <definedName name="_128h_F44">'Тарусская д.22 к.2'!$D$42</definedName>
    <definedName name="_128h_F45">'Тарусская д.22 к.2'!$D$43</definedName>
    <definedName name="_128h_F46">'Тарусская д.22 к.2'!$D$44</definedName>
    <definedName name="_128h_F47">'Тарусская д.22 к.2'!$D$45</definedName>
    <definedName name="_128h_F48">'Тарусская д.22 к.2'!$D$46</definedName>
    <definedName name="_128h_F49">'Тарусская д.22 к.2'!$D$47</definedName>
    <definedName name="_128h_F50">'Тарусская д.22 к.2'!$D$48</definedName>
    <definedName name="_128h_F51">'Тарусская д.22 к.2'!$D$49</definedName>
    <definedName name="_128h_F52">'Тарусская д.22 к.2'!#REF!</definedName>
    <definedName name="_128h_F53">'Тарусская д.22 к.2'!$D$50</definedName>
    <definedName name="_128h_F54">'Тарусская д.22 к.2'!$D$51</definedName>
    <definedName name="_128h_F55">'Тарусская д.22 к.2'!$D$52</definedName>
    <definedName name="_128h_F56">'Тарусская д.22 к.2'!$D$53</definedName>
    <definedName name="_128h_F57">'Тарусская д.22 к.2'!$D$54</definedName>
    <definedName name="_128h_F58">'Тарусская д.22 к.2'!$D$55</definedName>
    <definedName name="_128h_F59">'Тарусская д.22 к.2'!$D$56</definedName>
    <definedName name="_128h_F60">'Тарусская д.22 к.2'!$D$57</definedName>
    <definedName name="_128h_F61">'Тарусская д.22 к.2'!$D$58</definedName>
    <definedName name="_128h_F62">'Тарусская д.22 к.2'!$D$59</definedName>
    <definedName name="_128h_F63">'Тарусская д.22 к.2'!#REF!</definedName>
    <definedName name="_128h_F64">'Тарусская д.22 к.2'!$D$60</definedName>
    <definedName name="_128h_F65">'Тарусская д.22 к.2'!$D$61</definedName>
    <definedName name="_128h_F7">'Тарусская д.22 к.2'!$D$5</definedName>
    <definedName name="_128h_F8">'Тарусская д.22 к.2'!$D$6</definedName>
    <definedName name="_128h_F9">'Тарусская д.22 к.2'!$D$7</definedName>
    <definedName name="_129h_E10">'Ясногорская д.3'!$C$8</definedName>
    <definedName name="_129h_E11">'Ясногорская д.3'!$C$9</definedName>
    <definedName name="_129h_E12">'Ясногорская д.3'!$C$10</definedName>
    <definedName name="_129h_E13">'Ясногорская д.3'!$C$11</definedName>
    <definedName name="_129h_E14">'Ясногорская д.3'!$C$12</definedName>
    <definedName name="_129h_E15">'Ясногорская д.3'!$C$13</definedName>
    <definedName name="_129h_E16">'Ясногорская д.3'!$C$14</definedName>
    <definedName name="_129h_E17">'Ясногорская д.3'!$C$15</definedName>
    <definedName name="_129h_E18">'Ясногорская д.3'!$C$16</definedName>
    <definedName name="_129h_E19">'Ясногорская д.3'!$C$17</definedName>
    <definedName name="_129h_E20">'Ясногорская д.3'!$C$18</definedName>
    <definedName name="_129h_E21">'Ясногорская д.3'!$C$19</definedName>
    <definedName name="_129h_E22">'Ясногорская д.3'!$C$20</definedName>
    <definedName name="_129h_E23">'Ясногорская д.3'!$C$21</definedName>
    <definedName name="_129h_E24">'Ясногорская д.3'!$C$22</definedName>
    <definedName name="_129h_E25">'Ясногорская д.3'!$C$23</definedName>
    <definedName name="_129h_E26">'Ясногорская д.3'!$C$24</definedName>
    <definedName name="_129h_E27">'Ясногорская д.3'!$C$25</definedName>
    <definedName name="_129h_E28">'Ясногорская д.3'!$C$26</definedName>
    <definedName name="_129h_E29">'Ясногорская д.3'!$C$27</definedName>
    <definedName name="_129h_E30">'Ясногорская д.3'!$C$28</definedName>
    <definedName name="_129h_E31">'Ясногорская д.3'!$C$29</definedName>
    <definedName name="_129h_E32">'Ясногорская д.3'!$C$30</definedName>
    <definedName name="_129h_E33">'Ясногорская д.3'!$C$31</definedName>
    <definedName name="_129h_E34">'Ясногорская д.3'!$C$32</definedName>
    <definedName name="_129h_E35">'Ясногорская д.3'!$C$33</definedName>
    <definedName name="_129h_E36">'Ясногорская д.3'!$C$34</definedName>
    <definedName name="_129h_E37">'Ясногорская д.3'!$C$35</definedName>
    <definedName name="_129h_E38">'Ясногорская д.3'!$C$36</definedName>
    <definedName name="_129h_E39">'Ясногорская д.3'!$C$37</definedName>
    <definedName name="_129h_E40">'Ясногорская д.3'!$C$38</definedName>
    <definedName name="_129h_E41">'Ясногорская д.3'!$C$39</definedName>
    <definedName name="_129h_E42">'Ясногорская д.3'!$C$40</definedName>
    <definedName name="_129h_E43">'Ясногорская д.3'!$C$41</definedName>
    <definedName name="_129h_E44">'Ясногорская д.3'!$C$42</definedName>
    <definedName name="_129h_E45">'Ясногорская д.3'!$C$43</definedName>
    <definedName name="_129h_E46">'Ясногорская д.3'!$C$44</definedName>
    <definedName name="_129h_E47">'Ясногорская д.3'!$C$45</definedName>
    <definedName name="_129h_E48">'Ясногорская д.3'!$C$46</definedName>
    <definedName name="_129h_E49">'Ясногорская д.3'!$C$47</definedName>
    <definedName name="_129h_E50">'Ясногорская д.3'!$C$48</definedName>
    <definedName name="_129h_E51">'Ясногорская д.3'!$C$49</definedName>
    <definedName name="_129h_E52">'Ясногорская д.3'!#REF!</definedName>
    <definedName name="_129h_E53">'Ясногорская д.3'!$C$50</definedName>
    <definedName name="_129h_E54">'Ясногорская д.3'!$C$51</definedName>
    <definedName name="_129h_E55">'Ясногорская д.3'!$C$52</definedName>
    <definedName name="_129h_E56">'Ясногорская д.3'!$C$53</definedName>
    <definedName name="_129h_E57">'Ясногорская д.3'!$C$54</definedName>
    <definedName name="_129h_E58">'Ясногорская д.3'!$C$55</definedName>
    <definedName name="_129h_E59">'Ясногорская д.3'!$C$56</definedName>
    <definedName name="_129h_E60">'Ясногорская д.3'!$C$57</definedName>
    <definedName name="_129h_E61">'Ясногорская д.3'!$C$58</definedName>
    <definedName name="_129h_E62">'Ясногорская д.3'!$C$59</definedName>
    <definedName name="_129h_E63">'Ясногорская д.3'!#REF!</definedName>
    <definedName name="_129h_E64">'Ясногорская д.3'!$C$60</definedName>
    <definedName name="_129h_E65">'Ясногорская д.3'!$C$61</definedName>
    <definedName name="_129h_E7">'Ясногорская д.3'!$C$5</definedName>
    <definedName name="_129h_E8">'Ясногорская д.3'!$C$6</definedName>
    <definedName name="_129h_E9">'Ясногорская д.3'!$C$7</definedName>
    <definedName name="_129h_F10">'Ясногорская д.3'!$D$8</definedName>
    <definedName name="_129h_F11">'Ясногорская д.3'!$D$9</definedName>
    <definedName name="_129h_F12">'Ясногорская д.3'!$D$10</definedName>
    <definedName name="_129h_F13">'Ясногорская д.3'!$D$11</definedName>
    <definedName name="_129h_F14">'Ясногорская д.3'!$D$12</definedName>
    <definedName name="_129h_F15">'Ясногорская д.3'!$D$13</definedName>
    <definedName name="_129h_F16">'Ясногорская д.3'!$D$14</definedName>
    <definedName name="_129h_F17">'Ясногорская д.3'!$D$15</definedName>
    <definedName name="_129h_F18">'Ясногорская д.3'!$D$16</definedName>
    <definedName name="_129h_F19">'Ясногорская д.3'!$D$17</definedName>
    <definedName name="_129h_F20">'Ясногорская д.3'!$D$18</definedName>
    <definedName name="_129h_F21">'Ясногорская д.3'!$D$19</definedName>
    <definedName name="_129h_F22">'Ясногорская д.3'!$D$20</definedName>
    <definedName name="_129h_F23">'Ясногорская д.3'!$D$21</definedName>
    <definedName name="_129h_F24">'Ясногорская д.3'!$D$22</definedName>
    <definedName name="_129h_F25">'Ясногорская д.3'!$D$23</definedName>
    <definedName name="_129h_F26">'Ясногорская д.3'!$D$24</definedName>
    <definedName name="_129h_F27">'Ясногорская д.3'!$D$25</definedName>
    <definedName name="_129h_F28">'Ясногорская д.3'!$D$26</definedName>
    <definedName name="_129h_F29">'Ясногорская д.3'!$D$27</definedName>
    <definedName name="_129h_F30">'Ясногорская д.3'!$D$28</definedName>
    <definedName name="_129h_F31">'Ясногорская д.3'!$D$29</definedName>
    <definedName name="_129h_F32">'Ясногорская д.3'!$D$30</definedName>
    <definedName name="_129h_F33">'Ясногорская д.3'!$D$31</definedName>
    <definedName name="_129h_F34">'Ясногорская д.3'!$D$32</definedName>
    <definedName name="_129h_F35">'Ясногорская д.3'!$D$33</definedName>
    <definedName name="_129h_F36">'Ясногорская д.3'!$D$34</definedName>
    <definedName name="_129h_F37">'Ясногорская д.3'!$D$35</definedName>
    <definedName name="_129h_F38">'Ясногорская д.3'!$D$36</definedName>
    <definedName name="_129h_F39">'Ясногорская д.3'!$D$37</definedName>
    <definedName name="_129h_F40">'Ясногорская д.3'!$D$38</definedName>
    <definedName name="_129h_F41">'Ясногорская д.3'!$D$39</definedName>
    <definedName name="_129h_F42">'Ясногорская д.3'!$D$40</definedName>
    <definedName name="_129h_F43">'Ясногорская д.3'!$D$41</definedName>
    <definedName name="_129h_F44">'Ясногорская д.3'!$D$42</definedName>
    <definedName name="_129h_F45">'Ясногорская д.3'!$D$43</definedName>
    <definedName name="_129h_F46">'Ясногорская д.3'!$D$44</definedName>
    <definedName name="_129h_F47">'Ясногорская д.3'!$D$45</definedName>
    <definedName name="_129h_F48">'Ясногорская д.3'!$D$46</definedName>
    <definedName name="_129h_F49">'Ясногорская д.3'!$D$47</definedName>
    <definedName name="_129h_F50">'Ясногорская д.3'!$D$48</definedName>
    <definedName name="_129h_F51">'Ясногорская д.3'!$D$49</definedName>
    <definedName name="_129h_F52">'Ясногорская д.3'!#REF!</definedName>
    <definedName name="_129h_F53">'Ясногорская д.3'!$D$50</definedName>
    <definedName name="_129h_F54">'Ясногорская д.3'!$D$51</definedName>
    <definedName name="_129h_F55">'Ясногорская д.3'!$D$52</definedName>
    <definedName name="_129h_F56">'Ясногорская д.3'!$D$53</definedName>
    <definedName name="_129h_F57">'Ясногорская д.3'!$D$54</definedName>
    <definedName name="_129h_F58">'Ясногорская д.3'!$D$55</definedName>
    <definedName name="_129h_F59">'Ясногорская д.3'!$D$56</definedName>
    <definedName name="_129h_F60">'Ясногорская д.3'!$D$57</definedName>
    <definedName name="_129h_F61">'Ясногорская д.3'!$D$58</definedName>
    <definedName name="_129h_F62">'Ясногорская д.3'!$D$59</definedName>
    <definedName name="_129h_F63">'Ясногорская д.3'!#REF!</definedName>
    <definedName name="_129h_F64">'Ясногорская д.3'!$D$60</definedName>
    <definedName name="_129h_F65">'Ясногорская д.3'!$D$61</definedName>
    <definedName name="_129h_F7">'Ясногорская д.3'!$D$5</definedName>
    <definedName name="_129h_F8">'Ясногорская д.3'!$D$6</definedName>
    <definedName name="_129h_F9">'Ясногорская д.3'!$D$7</definedName>
    <definedName name="_12h_E10">'Вильнюсская д.17'!$C$8</definedName>
    <definedName name="_12h_E11">'Вильнюсская д.17'!$C$9</definedName>
    <definedName name="_12h_E12">'Вильнюсская д.17'!$C$10</definedName>
    <definedName name="_12h_E13">'Вильнюсская д.17'!$C$11</definedName>
    <definedName name="_12h_E14">'Вильнюсская д.17'!$C$12</definedName>
    <definedName name="_12h_E15">'Вильнюсская д.17'!$C$13</definedName>
    <definedName name="_12h_E16">'Вильнюсская д.17'!$C$14</definedName>
    <definedName name="_12h_E17">'Вильнюсская д.17'!$C$15</definedName>
    <definedName name="_12h_E18">'Вильнюсская д.17'!$C$16</definedName>
    <definedName name="_12h_E19">'Вильнюсская д.17'!$C$17</definedName>
    <definedName name="_12h_E20">'Вильнюсская д.17'!$C$18</definedName>
    <definedName name="_12h_E21">'Вильнюсская д.17'!$C$19</definedName>
    <definedName name="_12h_E22">'Вильнюсская д.17'!$C$20</definedName>
    <definedName name="_12h_E23">'Вильнюсская д.17'!$C$21</definedName>
    <definedName name="_12h_E24">'Вильнюсская д.17'!$C$22</definedName>
    <definedName name="_12h_E25">'Вильнюсская д.17'!$C$23</definedName>
    <definedName name="_12h_E26">'Вильнюсская д.17'!$C$24</definedName>
    <definedName name="_12h_E27">'Вильнюсская д.17'!$C$25</definedName>
    <definedName name="_12h_E28">'Вильнюсская д.17'!$C$26</definedName>
    <definedName name="_12h_E29">'Вильнюсская д.17'!$C$27</definedName>
    <definedName name="_12h_E30">'Вильнюсская д.17'!$C$28</definedName>
    <definedName name="_12h_E31">'Вильнюсская д.17'!$C$29</definedName>
    <definedName name="_12h_E32">'Вильнюсская д.17'!$C$30</definedName>
    <definedName name="_12h_E33">'Вильнюсская д.17'!$C$31</definedName>
    <definedName name="_12h_E34">'Вильнюсская д.17'!$C$32</definedName>
    <definedName name="_12h_E35">'Вильнюсская д.17'!$C$33</definedName>
    <definedName name="_12h_E36">'Вильнюсская д.17'!$C$34</definedName>
    <definedName name="_12h_E37">'Вильнюсская д.17'!$C$35</definedName>
    <definedName name="_12h_E38">'Вильнюсская д.17'!$C$36</definedName>
    <definedName name="_12h_E39">'Вильнюсская д.17'!$C$37</definedName>
    <definedName name="_12h_E40">'Вильнюсская д.17'!$C$38</definedName>
    <definedName name="_12h_E41">'Вильнюсская д.17'!$C$39</definedName>
    <definedName name="_12h_E42">'Вильнюсская д.17'!$C$40</definedName>
    <definedName name="_12h_E43">'Вильнюсская д.17'!$C$41</definedName>
    <definedName name="_12h_E44">'Вильнюсская д.17'!$C$42</definedName>
    <definedName name="_12h_E45">'Вильнюсская д.17'!$C$43</definedName>
    <definedName name="_12h_E46">'Вильнюсская д.17'!$C$44</definedName>
    <definedName name="_12h_E47">'Вильнюсская д.17'!$C$45</definedName>
    <definedName name="_12h_E48">'Вильнюсская д.17'!$C$46</definedName>
    <definedName name="_12h_E49">'Вильнюсская д.17'!$C$47</definedName>
    <definedName name="_12h_E50">'Вильнюсская д.17'!$C$48</definedName>
    <definedName name="_12h_E51">'Вильнюсская д.17'!$C$49</definedName>
    <definedName name="_12h_E52">'Вильнюсская д.17'!#REF!</definedName>
    <definedName name="_12h_E53">'Вильнюсская д.17'!$C$50</definedName>
    <definedName name="_12h_E54">'Вильнюсская д.17'!$C$51</definedName>
    <definedName name="_12h_E55">'Вильнюсская д.17'!$C$52</definedName>
    <definedName name="_12h_E56">'Вильнюсская д.17'!$C$53</definedName>
    <definedName name="_12h_E57">'Вильнюсская д.17'!$C$54</definedName>
    <definedName name="_12h_E58">'Вильнюсская д.17'!$C$55</definedName>
    <definedName name="_12h_E59">'Вильнюсская д.17'!$C$56</definedName>
    <definedName name="_12h_E60">'Вильнюсская д.17'!$C$57</definedName>
    <definedName name="_12h_E61">'Вильнюсская д.17'!$C$58</definedName>
    <definedName name="_12h_E62">'Вильнюсская д.17'!$C$59</definedName>
    <definedName name="_12h_E63">'Вильнюсская д.17'!#REF!</definedName>
    <definedName name="_12h_E64">'Вильнюсская д.17'!$C$60</definedName>
    <definedName name="_12h_E65">'Вильнюсская д.17'!$C$61</definedName>
    <definedName name="_12h_E7">'Вильнюсская д.17'!$C$5</definedName>
    <definedName name="_12h_E8">'Вильнюсская д.17'!$C$6</definedName>
    <definedName name="_12h_E9">'Вильнюсская д.17'!$C$7</definedName>
    <definedName name="_12h_F10">'Вильнюсская д.17'!$D$8</definedName>
    <definedName name="_12h_F11">'Вильнюсская д.17'!$D$9</definedName>
    <definedName name="_12h_F12">'Вильнюсская д.17'!$D$10</definedName>
    <definedName name="_12h_F13">'Вильнюсская д.17'!$D$11</definedName>
    <definedName name="_12h_F14">'Вильнюсская д.17'!$D$12</definedName>
    <definedName name="_12h_F15">'Вильнюсская д.17'!$D$13</definedName>
    <definedName name="_12h_F16">'Вильнюсская д.17'!$D$14</definedName>
    <definedName name="_12h_F17">'Вильнюсская д.17'!$D$15</definedName>
    <definedName name="_12h_F18">'Вильнюсская д.17'!$D$16</definedName>
    <definedName name="_12h_F19">'Вильнюсская д.17'!$D$17</definedName>
    <definedName name="_12h_F20">'Вильнюсская д.17'!$D$18</definedName>
    <definedName name="_12h_F21">'Вильнюсская д.17'!$D$19</definedName>
    <definedName name="_12h_F22">'Вильнюсская д.17'!$D$20</definedName>
    <definedName name="_12h_F23">'Вильнюсская д.17'!$D$21</definedName>
    <definedName name="_12h_F24">'Вильнюсская д.17'!$D$22</definedName>
    <definedName name="_12h_F25">'Вильнюсская д.17'!$D$23</definedName>
    <definedName name="_12h_F26">'Вильнюсская д.17'!$D$24</definedName>
    <definedName name="_12h_F27">'Вильнюсская д.17'!$D$25</definedName>
    <definedName name="_12h_F28">'Вильнюсская д.17'!$D$26</definedName>
    <definedName name="_12h_F29">'Вильнюсская д.17'!$D$27</definedName>
    <definedName name="_12h_F30">'Вильнюсская д.17'!$D$28</definedName>
    <definedName name="_12h_F31">'Вильнюсская д.17'!$D$29</definedName>
    <definedName name="_12h_F32">'Вильнюсская д.17'!$D$30</definedName>
    <definedName name="_12h_F33">'Вильнюсская д.17'!$D$31</definedName>
    <definedName name="_12h_F34">'Вильнюсская д.17'!$D$32</definedName>
    <definedName name="_12h_F35">'Вильнюсская д.17'!$D$33</definedName>
    <definedName name="_12h_F36">'Вильнюсская д.17'!$D$34</definedName>
    <definedName name="_12h_F37">'Вильнюсская д.17'!$D$35</definedName>
    <definedName name="_12h_F38">'Вильнюсская д.17'!$D$36</definedName>
    <definedName name="_12h_F39">'Вильнюсская д.17'!$D$37</definedName>
    <definedName name="_12h_F40">'Вильнюсская д.17'!$D$38</definedName>
    <definedName name="_12h_F41">'Вильнюсская д.17'!$D$39</definedName>
    <definedName name="_12h_F42">'Вильнюсская д.17'!$D$40</definedName>
    <definedName name="_12h_F43">'Вильнюсская д.17'!$D$41</definedName>
    <definedName name="_12h_F44">'Вильнюсская д.17'!$D$42</definedName>
    <definedName name="_12h_F45">'Вильнюсская д.17'!$D$43</definedName>
    <definedName name="_12h_F46">'Вильнюсская д.17'!$D$44</definedName>
    <definedName name="_12h_F47">'Вильнюсская д.17'!$D$45</definedName>
    <definedName name="_12h_F48">'Вильнюсская д.17'!$D$46</definedName>
    <definedName name="_12h_F49">'Вильнюсская д.17'!$D$47</definedName>
    <definedName name="_12h_F50">'Вильнюсская д.17'!$D$48</definedName>
    <definedName name="_12h_F51">'Вильнюсская д.17'!$D$49</definedName>
    <definedName name="_12h_F52">'Вильнюсская д.17'!#REF!</definedName>
    <definedName name="_12h_F53">'Вильнюсская д.17'!$D$50</definedName>
    <definedName name="_12h_F54">'Вильнюсская д.17'!$D$51</definedName>
    <definedName name="_12h_F55">'Вильнюсская д.17'!$D$52</definedName>
    <definedName name="_12h_F56">'Вильнюсская д.17'!$D$53</definedName>
    <definedName name="_12h_F57">'Вильнюсская д.17'!$D$54</definedName>
    <definedName name="_12h_F58">'Вильнюсская д.17'!$D$55</definedName>
    <definedName name="_12h_F59">'Вильнюсская д.17'!$D$56</definedName>
    <definedName name="_12h_F60">'Вильнюсская д.17'!$D$57</definedName>
    <definedName name="_12h_F61">'Вильнюсская д.17'!$D$58</definedName>
    <definedName name="_12h_F62">'Вильнюсская д.17'!$D$59</definedName>
    <definedName name="_12h_F63">'Вильнюсская д.17'!#REF!</definedName>
    <definedName name="_12h_F64">'Вильнюсская д.17'!$D$60</definedName>
    <definedName name="_12h_F65">'Вильнюсская д.17'!$D$61</definedName>
    <definedName name="_12h_F7">'Вильнюсская д.17'!$D$5</definedName>
    <definedName name="_12h_F8">'Вильнюсская д.17'!$D$6</definedName>
    <definedName name="_12h_F9">'Вильнюсская д.17'!$D$7</definedName>
    <definedName name="_130h_E10">'Ясногорская д.7'!$C$8</definedName>
    <definedName name="_130h_E11">'Ясногорская д.7'!$C$9</definedName>
    <definedName name="_130h_E12">'Ясногорская д.7'!$C$10</definedName>
    <definedName name="_130h_E13">'Ясногорская д.7'!$C$11</definedName>
    <definedName name="_130h_E14">'Ясногорская д.7'!$C$12</definedName>
    <definedName name="_130h_E15">'Ясногорская д.7'!$C$13</definedName>
    <definedName name="_130h_E16">'Ясногорская д.7'!$C$14</definedName>
    <definedName name="_130h_E17">'Ясногорская д.7'!$C$15</definedName>
    <definedName name="_130h_E18">'Ясногорская д.7'!$C$16</definedName>
    <definedName name="_130h_E19">'Ясногорская д.7'!$C$17</definedName>
    <definedName name="_130h_E20">'Ясногорская д.7'!$C$18</definedName>
    <definedName name="_130h_E21">'Ясногорская д.7'!$C$19</definedName>
    <definedName name="_130h_E22">'Ясногорская д.7'!$C$20</definedName>
    <definedName name="_130h_E23">'Ясногорская д.7'!$C$21</definedName>
    <definedName name="_130h_E24">'Ясногорская д.7'!$C$22</definedName>
    <definedName name="_130h_E25">'Ясногорская д.7'!$C$23</definedName>
    <definedName name="_130h_E26">'Ясногорская д.7'!$C$24</definedName>
    <definedName name="_130h_E27">'Ясногорская д.7'!$C$25</definedName>
    <definedName name="_130h_E28">'Ясногорская д.7'!$C$26</definedName>
    <definedName name="_130h_E29">'Ясногорская д.7'!$C$27</definedName>
    <definedName name="_130h_E30">'Ясногорская д.7'!$C$28</definedName>
    <definedName name="_130h_E31">'Ясногорская д.7'!$C$29</definedName>
    <definedName name="_130h_E32">'Ясногорская д.7'!$C$30</definedName>
    <definedName name="_130h_E33">'Ясногорская д.7'!$C$31</definedName>
    <definedName name="_130h_E34">'Ясногорская д.7'!$C$32</definedName>
    <definedName name="_130h_E35">'Ясногорская д.7'!$C$33</definedName>
    <definedName name="_130h_E36">'Ясногорская д.7'!$C$34</definedName>
    <definedName name="_130h_E37">'Ясногорская д.7'!$C$35</definedName>
    <definedName name="_130h_E38">'Ясногорская д.7'!$C$36</definedName>
    <definedName name="_130h_E39">'Ясногорская д.7'!$C$37</definedName>
    <definedName name="_130h_E40">'Ясногорская д.7'!$C$38</definedName>
    <definedName name="_130h_E41">'Ясногорская д.7'!$C$39</definedName>
    <definedName name="_130h_E42">'Ясногорская д.7'!$C$40</definedName>
    <definedName name="_130h_E43">'Ясногорская д.7'!$C$41</definedName>
    <definedName name="_130h_E44">'Ясногорская д.7'!$C$42</definedName>
    <definedName name="_130h_E45">'Ясногорская д.7'!$C$43</definedName>
    <definedName name="_130h_E46">'Ясногорская д.7'!$C$44</definedName>
    <definedName name="_130h_E47">'Ясногорская д.7'!$C$45</definedName>
    <definedName name="_130h_E48">'Ясногорская д.7'!$C$46</definedName>
    <definedName name="_130h_E49">'Ясногорская д.7'!$C$47</definedName>
    <definedName name="_130h_E50">'Ясногорская д.7'!$C$48</definedName>
    <definedName name="_130h_E51">'Ясногорская д.7'!$C$49</definedName>
    <definedName name="_130h_E52">'Ясногорская д.7'!#REF!</definedName>
    <definedName name="_130h_E53">'Ясногорская д.7'!$C$50</definedName>
    <definedName name="_130h_E54">'Ясногорская д.7'!$C$51</definedName>
    <definedName name="_130h_E55">'Ясногорская д.7'!$C$52</definedName>
    <definedName name="_130h_E56">'Ясногорская д.7'!$C$53</definedName>
    <definedName name="_130h_E57">'Ясногорская д.7'!$C$54</definedName>
    <definedName name="_130h_E58">'Ясногорская д.7'!$C$55</definedName>
    <definedName name="_130h_E59">'Ясногорская д.7'!$C$56</definedName>
    <definedName name="_130h_E60">'Ясногорская д.7'!$C$57</definedName>
    <definedName name="_130h_E61">'Ясногорская д.7'!$C$58</definedName>
    <definedName name="_130h_E62">'Ясногорская д.7'!$C$59</definedName>
    <definedName name="_130h_E63">'Ясногорская д.7'!#REF!</definedName>
    <definedName name="_130h_E64">'Ясногорская д.7'!$C$60</definedName>
    <definedName name="_130h_E65">'Ясногорская д.7'!$C$61</definedName>
    <definedName name="_130h_E7">'Ясногорская д.7'!$C$5</definedName>
    <definedName name="_130h_E8">'Ясногорская д.7'!$C$6</definedName>
    <definedName name="_130h_E9">'Ясногорская д.7'!$C$7</definedName>
    <definedName name="_130h_F10">'Ясногорская д.7'!$D$8</definedName>
    <definedName name="_130h_F11">'Ясногорская д.7'!$D$9</definedName>
    <definedName name="_130h_F12">'Ясногорская д.7'!$D$10</definedName>
    <definedName name="_130h_F13">'Ясногорская д.7'!$D$11</definedName>
    <definedName name="_130h_F14">'Ясногорская д.7'!$D$12</definedName>
    <definedName name="_130h_F15">'Ясногорская д.7'!$D$13</definedName>
    <definedName name="_130h_F16">'Ясногорская д.7'!$D$14</definedName>
    <definedName name="_130h_F17">'Ясногорская д.7'!$D$15</definedName>
    <definedName name="_130h_F18">'Ясногорская д.7'!$D$16</definedName>
    <definedName name="_130h_F19">'Ясногорская д.7'!$D$17</definedName>
    <definedName name="_130h_F20">'Ясногорская д.7'!$D$18</definedName>
    <definedName name="_130h_F21">'Ясногорская д.7'!$D$19</definedName>
    <definedName name="_130h_F22">'Ясногорская д.7'!$D$20</definedName>
    <definedName name="_130h_F23">'Ясногорская д.7'!$D$21</definedName>
    <definedName name="_130h_F24">'Ясногорская д.7'!$D$22</definedName>
    <definedName name="_130h_F25">'Ясногорская д.7'!$D$23</definedName>
    <definedName name="_130h_F26">'Ясногорская д.7'!$D$24</definedName>
    <definedName name="_130h_F27">'Ясногорская д.7'!$D$25</definedName>
    <definedName name="_130h_F28">'Ясногорская д.7'!$D$26</definedName>
    <definedName name="_130h_F29">'Ясногорская д.7'!$D$27</definedName>
    <definedName name="_130h_F30">'Ясногорская д.7'!$D$28</definedName>
    <definedName name="_130h_F31">'Ясногорская д.7'!$D$29</definedName>
    <definedName name="_130h_F32">'Ясногорская д.7'!$D$30</definedName>
    <definedName name="_130h_F33">'Ясногорская д.7'!$D$31</definedName>
    <definedName name="_130h_F34">'Ясногорская д.7'!$D$32</definedName>
    <definedName name="_130h_F35">'Ясногорская д.7'!$D$33</definedName>
    <definedName name="_130h_F36">'Ясногорская д.7'!$D$34</definedName>
    <definedName name="_130h_F37">'Ясногорская д.7'!$D$35</definedName>
    <definedName name="_130h_F38">'Ясногорская д.7'!$D$36</definedName>
    <definedName name="_130h_F39">'Ясногорская д.7'!$D$37</definedName>
    <definedName name="_130h_F40">'Ясногорская д.7'!$D$38</definedName>
    <definedName name="_130h_F41">'Ясногорская д.7'!$D$39</definedName>
    <definedName name="_130h_F42">'Ясногорская д.7'!$D$40</definedName>
    <definedName name="_130h_F43">'Ясногорская д.7'!$D$41</definedName>
    <definedName name="_130h_F44">'Ясногорская д.7'!$D$42</definedName>
    <definedName name="_130h_F45">'Ясногорская д.7'!$D$43</definedName>
    <definedName name="_130h_F46">'Ясногорская д.7'!$D$44</definedName>
    <definedName name="_130h_F47">'Ясногорская д.7'!$D$45</definedName>
    <definedName name="_130h_F48">'Ясногорская д.7'!$D$46</definedName>
    <definedName name="_130h_F49">'Ясногорская д.7'!$D$47</definedName>
    <definedName name="_130h_F50">'Ясногорская д.7'!$D$48</definedName>
    <definedName name="_130h_F51">'Ясногорская д.7'!$D$49</definedName>
    <definedName name="_130h_F52">'Ясногорская д.7'!#REF!</definedName>
    <definedName name="_130h_F53">'Ясногорская д.7'!$D$50</definedName>
    <definedName name="_130h_F54">'Ясногорская д.7'!$D$51</definedName>
    <definedName name="_130h_F55">'Ясногорская д.7'!$D$52</definedName>
    <definedName name="_130h_F56">'Ясногорская д.7'!$D$53</definedName>
    <definedName name="_130h_F57">'Ясногорская д.7'!$D$54</definedName>
    <definedName name="_130h_F58">'Ясногорская д.7'!$D$55</definedName>
    <definedName name="_130h_F59">'Ясногорская д.7'!$D$56</definedName>
    <definedName name="_130h_F60">'Ясногорская д.7'!$D$57</definedName>
    <definedName name="_130h_F61">'Ясногорская д.7'!$D$58</definedName>
    <definedName name="_130h_F62">'Ясногорская д.7'!$D$59</definedName>
    <definedName name="_130h_F63">'Ясногорская д.7'!#REF!</definedName>
    <definedName name="_130h_F64">'Ясногорская д.7'!$D$60</definedName>
    <definedName name="_130h_F65">'Ясногорская д.7'!$D$61</definedName>
    <definedName name="_130h_F7">'Ясногорская д.7'!$D$5</definedName>
    <definedName name="_130h_F8">'Ясногорская д.7'!$D$6</definedName>
    <definedName name="_130h_F9">'Ясногорская д.7'!$D$7</definedName>
    <definedName name="_131h_E10">'Ясногорская д.13 к.1'!$C$8</definedName>
    <definedName name="_131h_E11">'Ясногорская д.13 к.1'!$C$9</definedName>
    <definedName name="_131h_E12">'Ясногорская д.13 к.1'!$C$10</definedName>
    <definedName name="_131h_E13">'Ясногорская д.13 к.1'!$C$11</definedName>
    <definedName name="_131h_E14">'Ясногорская д.13 к.1'!$C$12</definedName>
    <definedName name="_131h_E15">'Ясногорская д.13 к.1'!$C$13</definedName>
    <definedName name="_131h_E16">'Ясногорская д.13 к.1'!$C$14</definedName>
    <definedName name="_131h_E17">'Ясногорская д.13 к.1'!$C$15</definedName>
    <definedName name="_131h_E18">'Ясногорская д.13 к.1'!$C$16</definedName>
    <definedName name="_131h_E19">'Ясногорская д.13 к.1'!$C$17</definedName>
    <definedName name="_131h_E20">'Ясногорская д.13 к.1'!$C$18</definedName>
    <definedName name="_131h_E21">'Ясногорская д.13 к.1'!$C$19</definedName>
    <definedName name="_131h_E22">'Ясногорская д.13 к.1'!$C$20</definedName>
    <definedName name="_131h_E23">'Ясногорская д.13 к.1'!$C$21</definedName>
    <definedName name="_131h_E24">'Ясногорская д.13 к.1'!$C$22</definedName>
    <definedName name="_131h_E25">'Ясногорская д.13 к.1'!$C$23</definedName>
    <definedName name="_131h_E26">'Ясногорская д.13 к.1'!$C$24</definedName>
    <definedName name="_131h_E27">'Ясногорская д.13 к.1'!$C$25</definedName>
    <definedName name="_131h_E28">'Ясногорская д.13 к.1'!$C$26</definedName>
    <definedName name="_131h_E29">'Ясногорская д.13 к.1'!$C$27</definedName>
    <definedName name="_131h_E30">'Ясногорская д.13 к.1'!$C$28</definedName>
    <definedName name="_131h_E31">'Ясногорская д.13 к.1'!$C$29</definedName>
    <definedName name="_131h_E32">'Ясногорская д.13 к.1'!$C$30</definedName>
    <definedName name="_131h_E33">'Ясногорская д.13 к.1'!$C$31</definedName>
    <definedName name="_131h_E34">'Ясногорская д.13 к.1'!$C$32</definedName>
    <definedName name="_131h_E35">'Ясногорская д.13 к.1'!$C$33</definedName>
    <definedName name="_131h_E36">'Ясногорская д.13 к.1'!$C$34</definedName>
    <definedName name="_131h_E37">'Ясногорская д.13 к.1'!$C$35</definedName>
    <definedName name="_131h_E38">'Ясногорская д.13 к.1'!$C$36</definedName>
    <definedName name="_131h_E39">'Ясногорская д.13 к.1'!$C$37</definedName>
    <definedName name="_131h_E40">'Ясногорская д.13 к.1'!$C$38</definedName>
    <definedName name="_131h_E41">'Ясногорская д.13 к.1'!$C$39</definedName>
    <definedName name="_131h_E42">'Ясногорская д.13 к.1'!$C$40</definedName>
    <definedName name="_131h_E43">'Ясногорская д.13 к.1'!$C$41</definedName>
    <definedName name="_131h_E44">'Ясногорская д.13 к.1'!$C$42</definedName>
    <definedName name="_131h_E45">'Ясногорская д.13 к.1'!$C$43</definedName>
    <definedName name="_131h_E46">'Ясногорская д.13 к.1'!$C$44</definedName>
    <definedName name="_131h_E47">'Ясногорская д.13 к.1'!$C$45</definedName>
    <definedName name="_131h_E48">'Ясногорская д.13 к.1'!$C$46</definedName>
    <definedName name="_131h_E49">'Ясногорская д.13 к.1'!$C$47</definedName>
    <definedName name="_131h_E50">'Ясногорская д.13 к.1'!$C$48</definedName>
    <definedName name="_131h_E51">'Ясногорская д.13 к.1'!$C$49</definedName>
    <definedName name="_131h_E52">'Ясногорская д.13 к.1'!#REF!</definedName>
    <definedName name="_131h_E53">'Ясногорская д.13 к.1'!$C$50</definedName>
    <definedName name="_131h_E54">'Ясногорская д.13 к.1'!$C$51</definedName>
    <definedName name="_131h_E55">'Ясногорская д.13 к.1'!$C$52</definedName>
    <definedName name="_131h_E56">'Ясногорская д.13 к.1'!$C$53</definedName>
    <definedName name="_131h_E57">'Ясногорская д.13 к.1'!$C$54</definedName>
    <definedName name="_131h_E58">'Ясногорская д.13 к.1'!$C$55</definedName>
    <definedName name="_131h_E59">'Ясногорская д.13 к.1'!$C$56</definedName>
    <definedName name="_131h_E60">'Ясногорская д.13 к.1'!$C$57</definedName>
    <definedName name="_131h_E61">'Ясногорская д.13 к.1'!$C$58</definedName>
    <definedName name="_131h_E62">'Ясногорская д.13 к.1'!$C$59</definedName>
    <definedName name="_131h_E63">'Ясногорская д.13 к.1'!#REF!</definedName>
    <definedName name="_131h_E64">'Ясногорская д.13 к.1'!$C$60</definedName>
    <definedName name="_131h_E65">'Ясногорская д.13 к.1'!$C$61</definedName>
    <definedName name="_131h_E7">'Ясногорская д.13 к.1'!$C$5</definedName>
    <definedName name="_131h_E8">'Ясногорская д.13 к.1'!$C$6</definedName>
    <definedName name="_131h_E9">'Ясногорская д.13 к.1'!$C$7</definedName>
    <definedName name="_131h_F10">'Ясногорская д.13 к.1'!$D$8</definedName>
    <definedName name="_131h_F11">'Ясногорская д.13 к.1'!$D$9</definedName>
    <definedName name="_131h_F12">'Ясногорская д.13 к.1'!$D$10</definedName>
    <definedName name="_131h_F13">'Ясногорская д.13 к.1'!$D$11</definedName>
    <definedName name="_131h_F14">'Ясногорская д.13 к.1'!$D$12</definedName>
    <definedName name="_131h_F15">'Ясногорская д.13 к.1'!$D$13</definedName>
    <definedName name="_131h_F16">'Ясногорская д.13 к.1'!$D$14</definedName>
    <definedName name="_131h_F17">'Ясногорская д.13 к.1'!$D$15</definedName>
    <definedName name="_131h_F18">'Ясногорская д.13 к.1'!$D$16</definedName>
    <definedName name="_131h_F19">'Ясногорская д.13 к.1'!$D$17</definedName>
    <definedName name="_131h_F20">'Ясногорская д.13 к.1'!$D$18</definedName>
    <definedName name="_131h_F21">'Ясногорская д.13 к.1'!$D$19</definedName>
    <definedName name="_131h_F22">'Ясногорская д.13 к.1'!$D$20</definedName>
    <definedName name="_131h_F23">'Ясногорская д.13 к.1'!$D$21</definedName>
    <definedName name="_131h_F24">'Ясногорская д.13 к.1'!$D$22</definedName>
    <definedName name="_131h_F25">'Ясногорская д.13 к.1'!$D$23</definedName>
    <definedName name="_131h_F26">'Ясногорская д.13 к.1'!$D$24</definedName>
    <definedName name="_131h_F27">'Ясногорская д.13 к.1'!$D$25</definedName>
    <definedName name="_131h_F28">'Ясногорская д.13 к.1'!$D$26</definedName>
    <definedName name="_131h_F29">'Ясногорская д.13 к.1'!$D$27</definedName>
    <definedName name="_131h_F30">'Ясногорская д.13 к.1'!$D$28</definedName>
    <definedName name="_131h_F31">'Ясногорская д.13 к.1'!$D$29</definedName>
    <definedName name="_131h_F32">'Ясногорская д.13 к.1'!$D$30</definedName>
    <definedName name="_131h_F33">'Ясногорская д.13 к.1'!$D$31</definedName>
    <definedName name="_131h_F34">'Ясногорская д.13 к.1'!$D$32</definedName>
    <definedName name="_131h_F35">'Ясногорская д.13 к.1'!$D$33</definedName>
    <definedName name="_131h_F36">'Ясногорская д.13 к.1'!$D$34</definedName>
    <definedName name="_131h_F37">'Ясногорская д.13 к.1'!$D$35</definedName>
    <definedName name="_131h_F38">'Ясногорская д.13 к.1'!$D$36</definedName>
    <definedName name="_131h_F39">'Ясногорская д.13 к.1'!$D$37</definedName>
    <definedName name="_131h_F40">'Ясногорская д.13 к.1'!$D$38</definedName>
    <definedName name="_131h_F41">'Ясногорская д.13 к.1'!$D$39</definedName>
    <definedName name="_131h_F42">'Ясногорская д.13 к.1'!$D$40</definedName>
    <definedName name="_131h_F43">'Ясногорская д.13 к.1'!$D$41</definedName>
    <definedName name="_131h_F44">'Ясногорская д.13 к.1'!$D$42</definedName>
    <definedName name="_131h_F45">'Ясногорская д.13 к.1'!$D$43</definedName>
    <definedName name="_131h_F46">'Ясногорская д.13 к.1'!$D$44</definedName>
    <definedName name="_131h_F47">'Ясногорская д.13 к.1'!$D$45</definedName>
    <definedName name="_131h_F48">'Ясногорская д.13 к.1'!$D$46</definedName>
    <definedName name="_131h_F49">'Ясногорская д.13 к.1'!$D$47</definedName>
    <definedName name="_131h_F50">'Ясногорская д.13 к.1'!$D$48</definedName>
    <definedName name="_131h_F51">'Ясногорская д.13 к.1'!$D$49</definedName>
    <definedName name="_131h_F52">'Ясногорская д.13 к.1'!#REF!</definedName>
    <definedName name="_131h_F53">'Ясногорская д.13 к.1'!$D$50</definedName>
    <definedName name="_131h_F54">'Ясногорская д.13 к.1'!$D$51</definedName>
    <definedName name="_131h_F55">'Ясногорская д.13 к.1'!$D$52</definedName>
    <definedName name="_131h_F56">'Ясногорская д.13 к.1'!$D$53</definedName>
    <definedName name="_131h_F57">'Ясногорская д.13 к.1'!$D$54</definedName>
    <definedName name="_131h_F58">'Ясногорская д.13 к.1'!$D$55</definedName>
    <definedName name="_131h_F59">'Ясногорская д.13 к.1'!$D$56</definedName>
    <definedName name="_131h_F60">'Ясногорская д.13 к.1'!$D$57</definedName>
    <definedName name="_131h_F61">'Ясногорская д.13 к.1'!$D$58</definedName>
    <definedName name="_131h_F62">'Ясногорская д.13 к.1'!$D$59</definedName>
    <definedName name="_131h_F63">'Ясногорская д.13 к.1'!#REF!</definedName>
    <definedName name="_131h_F64">'Ясногорская д.13 к.1'!$D$60</definedName>
    <definedName name="_131h_F65">'Ясногорская д.13 к.1'!$D$61</definedName>
    <definedName name="_131h_F7">'Ясногорская д.13 к.1'!$D$5</definedName>
    <definedName name="_131h_F8">'Ясногорская д.13 к.1'!$D$6</definedName>
    <definedName name="_131h_F9">'Ясногорская д.13 к.1'!$D$7</definedName>
    <definedName name="_132h_E10">'Ясногорская д.13 к.2'!$C$8</definedName>
    <definedName name="_132h_E11">'Ясногорская д.13 к.2'!$C$9</definedName>
    <definedName name="_132h_E12">'Ясногорская д.13 к.2'!$C$10</definedName>
    <definedName name="_132h_E13">'Ясногорская д.13 к.2'!$C$11</definedName>
    <definedName name="_132h_E14">'Ясногорская д.13 к.2'!$C$12</definedName>
    <definedName name="_132h_E15">'Ясногорская д.13 к.2'!$C$13</definedName>
    <definedName name="_132h_E16">'Ясногорская д.13 к.2'!$C$14</definedName>
    <definedName name="_132h_E17">'Ясногорская д.13 к.2'!$C$15</definedName>
    <definedName name="_132h_E18">'Ясногорская д.13 к.2'!$C$16</definedName>
    <definedName name="_132h_E19">'Ясногорская д.13 к.2'!$C$17</definedName>
    <definedName name="_132h_E20">'Ясногорская д.13 к.2'!$C$18</definedName>
    <definedName name="_132h_E21">'Ясногорская д.13 к.2'!$C$19</definedName>
    <definedName name="_132h_E22">'Ясногорская д.13 к.2'!$C$20</definedName>
    <definedName name="_132h_E23">'Ясногорская д.13 к.2'!$C$21</definedName>
    <definedName name="_132h_E24">'Ясногорская д.13 к.2'!$C$22</definedName>
    <definedName name="_132h_E25">'Ясногорская д.13 к.2'!$C$23</definedName>
    <definedName name="_132h_E26">'Ясногорская д.13 к.2'!$C$24</definedName>
    <definedName name="_132h_E27">'Ясногорская д.13 к.2'!$C$25</definedName>
    <definedName name="_132h_E28">'Ясногорская д.13 к.2'!$C$26</definedName>
    <definedName name="_132h_E29">'Ясногорская д.13 к.2'!$C$27</definedName>
    <definedName name="_132h_E30">'Ясногорская д.13 к.2'!$C$28</definedName>
    <definedName name="_132h_E31">'Ясногорская д.13 к.2'!$C$29</definedName>
    <definedName name="_132h_E32">'Ясногорская д.13 к.2'!$C$30</definedName>
    <definedName name="_132h_E33">'Ясногорская д.13 к.2'!$C$31</definedName>
    <definedName name="_132h_E34">'Ясногорская д.13 к.2'!$C$32</definedName>
    <definedName name="_132h_E35">'Ясногорская д.13 к.2'!$C$33</definedName>
    <definedName name="_132h_E36">'Ясногорская д.13 к.2'!$C$34</definedName>
    <definedName name="_132h_E37">'Ясногорская д.13 к.2'!$C$35</definedName>
    <definedName name="_132h_E38">'Ясногорская д.13 к.2'!$C$36</definedName>
    <definedName name="_132h_E39">'Ясногорская д.13 к.2'!$C$37</definedName>
    <definedName name="_132h_E40">'Ясногорская д.13 к.2'!$C$38</definedName>
    <definedName name="_132h_E41">'Ясногорская д.13 к.2'!$C$39</definedName>
    <definedName name="_132h_E42">'Ясногорская д.13 к.2'!$C$40</definedName>
    <definedName name="_132h_E43">'Ясногорская д.13 к.2'!$C$41</definedName>
    <definedName name="_132h_E44">'Ясногорская д.13 к.2'!$C$42</definedName>
    <definedName name="_132h_E45">'Ясногорская д.13 к.2'!$C$43</definedName>
    <definedName name="_132h_E46">'Ясногорская д.13 к.2'!$C$44</definedName>
    <definedName name="_132h_E47">'Ясногорская д.13 к.2'!$C$45</definedName>
    <definedName name="_132h_E48">'Ясногорская д.13 к.2'!$C$46</definedName>
    <definedName name="_132h_E49">'Ясногорская д.13 к.2'!$C$47</definedName>
    <definedName name="_132h_E50">'Ясногорская д.13 к.2'!$C$48</definedName>
    <definedName name="_132h_E51">'Ясногорская д.13 к.2'!$C$49</definedName>
    <definedName name="_132h_E52">'Ясногорская д.13 к.2'!#REF!</definedName>
    <definedName name="_132h_E53">'Ясногорская д.13 к.2'!$C$50</definedName>
    <definedName name="_132h_E54">'Ясногорская д.13 к.2'!$C$51</definedName>
    <definedName name="_132h_E55">'Ясногорская д.13 к.2'!$C$52</definedName>
    <definedName name="_132h_E56">'Ясногорская д.13 к.2'!$C$53</definedName>
    <definedName name="_132h_E57">'Ясногорская д.13 к.2'!$C$54</definedName>
    <definedName name="_132h_E58">'Ясногорская д.13 к.2'!$C$55</definedName>
    <definedName name="_132h_E59">'Ясногорская д.13 к.2'!$C$56</definedName>
    <definedName name="_132h_E60">'Ясногорская д.13 к.2'!$C$57</definedName>
    <definedName name="_132h_E61">'Ясногорская д.13 к.2'!$C$58</definedName>
    <definedName name="_132h_E62">'Ясногорская д.13 к.2'!$C$59</definedName>
    <definedName name="_132h_E63">'Ясногорская д.13 к.2'!#REF!</definedName>
    <definedName name="_132h_E64">'Ясногорская д.13 к.2'!$C$60</definedName>
    <definedName name="_132h_E65">'Ясногорская д.13 к.2'!$C$61</definedName>
    <definedName name="_132h_E7">'Ясногорская д.13 к.2'!$C$5</definedName>
    <definedName name="_132h_E8">'Ясногорская д.13 к.2'!$C$6</definedName>
    <definedName name="_132h_E9">'Ясногорская д.13 к.2'!$C$7</definedName>
    <definedName name="_132h_F10">'Ясногорская д.13 к.2'!$D$8</definedName>
    <definedName name="_132h_F11">'Ясногорская д.13 к.2'!$D$9</definedName>
    <definedName name="_132h_F12">'Ясногорская д.13 к.2'!$D$10</definedName>
    <definedName name="_132h_F13">'Ясногорская д.13 к.2'!$D$11</definedName>
    <definedName name="_132h_F14">'Ясногорская д.13 к.2'!$D$12</definedName>
    <definedName name="_132h_F15">'Ясногорская д.13 к.2'!$D$13</definedName>
    <definedName name="_132h_F16">'Ясногорская д.13 к.2'!$D$14</definedName>
    <definedName name="_132h_F17">'Ясногорская д.13 к.2'!$D$15</definedName>
    <definedName name="_132h_F18">'Ясногорская д.13 к.2'!$D$16</definedName>
    <definedName name="_132h_F19">'Ясногорская д.13 к.2'!$D$17</definedName>
    <definedName name="_132h_F20">'Ясногорская д.13 к.2'!$D$18</definedName>
    <definedName name="_132h_F21">'Ясногорская д.13 к.2'!$D$19</definedName>
    <definedName name="_132h_F22">'Ясногорская д.13 к.2'!$D$20</definedName>
    <definedName name="_132h_F23">'Ясногорская д.13 к.2'!$D$21</definedName>
    <definedName name="_132h_F24">'Ясногорская д.13 к.2'!$D$22</definedName>
    <definedName name="_132h_F25">'Ясногорская д.13 к.2'!$D$23</definedName>
    <definedName name="_132h_F26">'Ясногорская д.13 к.2'!$D$24</definedName>
    <definedName name="_132h_F27">'Ясногорская д.13 к.2'!$D$25</definedName>
    <definedName name="_132h_F28">'Ясногорская д.13 к.2'!$D$26</definedName>
    <definedName name="_132h_F29">'Ясногорская д.13 к.2'!$D$27</definedName>
    <definedName name="_132h_F30">'Ясногорская д.13 к.2'!$D$28</definedName>
    <definedName name="_132h_F31">'Ясногорская д.13 к.2'!$D$29</definedName>
    <definedName name="_132h_F32">'Ясногорская д.13 к.2'!$D$30</definedName>
    <definedName name="_132h_F33">'Ясногорская д.13 к.2'!$D$31</definedName>
    <definedName name="_132h_F34">'Ясногорская д.13 к.2'!$D$32</definedName>
    <definedName name="_132h_F35">'Ясногорская д.13 к.2'!$D$33</definedName>
    <definedName name="_132h_F36">'Ясногорская д.13 к.2'!$D$34</definedName>
    <definedName name="_132h_F37">'Ясногорская д.13 к.2'!$D$35</definedName>
    <definedName name="_132h_F38">'Ясногорская д.13 к.2'!$D$36</definedName>
    <definedName name="_132h_F39">'Ясногорская д.13 к.2'!$D$37</definedName>
    <definedName name="_132h_F40">'Ясногорская д.13 к.2'!$D$38</definedName>
    <definedName name="_132h_F41">'Ясногорская д.13 к.2'!$D$39</definedName>
    <definedName name="_132h_F42">'Ясногорская д.13 к.2'!$D$40</definedName>
    <definedName name="_132h_F43">'Ясногорская д.13 к.2'!$D$41</definedName>
    <definedName name="_132h_F44">'Ясногорская д.13 к.2'!$D$42</definedName>
    <definedName name="_132h_F45">'Ясногорская д.13 к.2'!$D$43</definedName>
    <definedName name="_132h_F46">'Ясногорская д.13 к.2'!$D$44</definedName>
    <definedName name="_132h_F47">'Ясногорская д.13 к.2'!$D$45</definedName>
    <definedName name="_132h_F48">'Ясногорская д.13 к.2'!$D$46</definedName>
    <definedName name="_132h_F49">'Ясногорская д.13 к.2'!$D$47</definedName>
    <definedName name="_132h_F50">'Ясногорская д.13 к.2'!$D$48</definedName>
    <definedName name="_132h_F51">'Ясногорская д.13 к.2'!$D$49</definedName>
    <definedName name="_132h_F52">'Ясногорская д.13 к.2'!#REF!</definedName>
    <definedName name="_132h_F53">'Ясногорская д.13 к.2'!$D$50</definedName>
    <definedName name="_132h_F54">'Ясногорская д.13 к.2'!$D$51</definedName>
    <definedName name="_132h_F55">'Ясногорская д.13 к.2'!$D$52</definedName>
    <definedName name="_132h_F56">'Ясногорская д.13 к.2'!$D$53</definedName>
    <definedName name="_132h_F57">'Ясногорская д.13 к.2'!$D$54</definedName>
    <definedName name="_132h_F58">'Ясногорская д.13 к.2'!$D$55</definedName>
    <definedName name="_132h_F59">'Ясногорская д.13 к.2'!$D$56</definedName>
    <definedName name="_132h_F60">'Ясногорская д.13 к.2'!$D$57</definedName>
    <definedName name="_132h_F61">'Ясногорская д.13 к.2'!$D$58</definedName>
    <definedName name="_132h_F62">'Ясногорская д.13 к.2'!$D$59</definedName>
    <definedName name="_132h_F63">'Ясногорская д.13 к.2'!#REF!</definedName>
    <definedName name="_132h_F64">'Ясногорская д.13 к.2'!$D$60</definedName>
    <definedName name="_132h_F65">'Ясногорская д.13 к.2'!$D$61</definedName>
    <definedName name="_132h_F7">'Ясногорская д.13 к.2'!$D$5</definedName>
    <definedName name="_132h_F8">'Ясногорская д.13 к.2'!$D$6</definedName>
    <definedName name="_132h_F9">'Ясногорская д.13 к.2'!$D$7</definedName>
    <definedName name="_133h_E10">'Ясногорская д.17 к.1'!$C$8</definedName>
    <definedName name="_133h_E11">'Ясногорская д.17 к.1'!$C$9</definedName>
    <definedName name="_133h_E12">'Ясногорская д.17 к.1'!$C$10</definedName>
    <definedName name="_133h_E13">'Ясногорская д.17 к.1'!$C$11</definedName>
    <definedName name="_133h_E14">'Ясногорская д.17 к.1'!$C$12</definedName>
    <definedName name="_133h_E15">'Ясногорская д.17 к.1'!$C$13</definedName>
    <definedName name="_133h_E16">'Ясногорская д.17 к.1'!$C$14</definedName>
    <definedName name="_133h_E17">'Ясногорская д.17 к.1'!$C$15</definedName>
    <definedName name="_133h_E18">'Ясногорская д.17 к.1'!$C$16</definedName>
    <definedName name="_133h_E19">'Ясногорская д.17 к.1'!$C$17</definedName>
    <definedName name="_133h_E20">'Ясногорская д.17 к.1'!$C$18</definedName>
    <definedName name="_133h_E21">'Ясногорская д.17 к.1'!$C$19</definedName>
    <definedName name="_133h_E22">'Ясногорская д.17 к.1'!$C$20</definedName>
    <definedName name="_133h_E23">'Ясногорская д.17 к.1'!$C$21</definedName>
    <definedName name="_133h_E24">'Ясногорская д.17 к.1'!$C$22</definedName>
    <definedName name="_133h_E25">'Ясногорская д.17 к.1'!$C$23</definedName>
    <definedName name="_133h_E26">'Ясногорская д.17 к.1'!$C$24</definedName>
    <definedName name="_133h_E27">'Ясногорская д.17 к.1'!$C$25</definedName>
    <definedName name="_133h_E28">'Ясногорская д.17 к.1'!$C$26</definedName>
    <definedName name="_133h_E29">'Ясногорская д.17 к.1'!$C$27</definedName>
    <definedName name="_133h_E30">'Ясногорская д.17 к.1'!$C$28</definedName>
    <definedName name="_133h_E31">'Ясногорская д.17 к.1'!$C$29</definedName>
    <definedName name="_133h_E32">'Ясногорская д.17 к.1'!$C$30</definedName>
    <definedName name="_133h_E33">'Ясногорская д.17 к.1'!$C$31</definedName>
    <definedName name="_133h_E34">'Ясногорская д.17 к.1'!$C$32</definedName>
    <definedName name="_133h_E35">'Ясногорская д.17 к.1'!$C$33</definedName>
    <definedName name="_133h_E36">'Ясногорская д.17 к.1'!$C$34</definedName>
    <definedName name="_133h_E37">'Ясногорская д.17 к.1'!$C$35</definedName>
    <definedName name="_133h_E38">'Ясногорская д.17 к.1'!$C$36</definedName>
    <definedName name="_133h_E39">'Ясногорская д.17 к.1'!$C$37</definedName>
    <definedName name="_133h_E40">'Ясногорская д.17 к.1'!$C$38</definedName>
    <definedName name="_133h_E41">'Ясногорская д.17 к.1'!$C$39</definedName>
    <definedName name="_133h_E42">'Ясногорская д.17 к.1'!$C$40</definedName>
    <definedName name="_133h_E43">'Ясногорская д.17 к.1'!$C$41</definedName>
    <definedName name="_133h_E44">'Ясногорская д.17 к.1'!$C$42</definedName>
    <definedName name="_133h_E45">'Ясногорская д.17 к.1'!$C$43</definedName>
    <definedName name="_133h_E46">'Ясногорская д.17 к.1'!$C$44</definedName>
    <definedName name="_133h_E47">'Ясногорская д.17 к.1'!$C$45</definedName>
    <definedName name="_133h_E48">'Ясногорская д.17 к.1'!$C$46</definedName>
    <definedName name="_133h_E49">'Ясногорская д.17 к.1'!$C$47</definedName>
    <definedName name="_133h_E50">'Ясногорская д.17 к.1'!$C$48</definedName>
    <definedName name="_133h_E51">'Ясногорская д.17 к.1'!$C$49</definedName>
    <definedName name="_133h_E52">'Ясногорская д.17 к.1'!#REF!</definedName>
    <definedName name="_133h_E53">'Ясногорская д.17 к.1'!$C$50</definedName>
    <definedName name="_133h_E54">'Ясногорская д.17 к.1'!$C$51</definedName>
    <definedName name="_133h_E55">'Ясногорская д.17 к.1'!$C$52</definedName>
    <definedName name="_133h_E56">'Ясногорская д.17 к.1'!$C$53</definedName>
    <definedName name="_133h_E57">'Ясногорская д.17 к.1'!$C$54</definedName>
    <definedName name="_133h_E58">'Ясногорская д.17 к.1'!$C$55</definedName>
    <definedName name="_133h_E59">'Ясногорская д.17 к.1'!$C$56</definedName>
    <definedName name="_133h_E60">'Ясногорская д.17 к.1'!$C$57</definedName>
    <definedName name="_133h_E61">'Ясногорская д.17 к.1'!$C$58</definedName>
    <definedName name="_133h_E62">'Ясногорская д.17 к.1'!$C$59</definedName>
    <definedName name="_133h_E63">'Ясногорская д.17 к.1'!$C$60</definedName>
    <definedName name="_133h_E64">'Ясногорская д.17 к.1'!$C$61</definedName>
    <definedName name="_133h_E65">'Ясногорская д.17 к.1'!$C$62</definedName>
    <definedName name="_133h_E7">'Ясногорская д.17 к.1'!$C$5</definedName>
    <definedName name="_133h_E8">'Ясногорская д.17 к.1'!$C$6</definedName>
    <definedName name="_133h_E9">'Ясногорская д.17 к.1'!$C$7</definedName>
    <definedName name="_133h_F10">'Ясногорская д.17 к.1'!$D$8</definedName>
    <definedName name="_133h_F11">'Ясногорская д.17 к.1'!$D$9</definedName>
    <definedName name="_133h_F12">'Ясногорская д.17 к.1'!$D$10</definedName>
    <definedName name="_133h_F13">'Ясногорская д.17 к.1'!$D$11</definedName>
    <definedName name="_133h_F14">'Ясногорская д.17 к.1'!$D$12</definedName>
    <definedName name="_133h_F15">'Ясногорская д.17 к.1'!$D$13</definedName>
    <definedName name="_133h_F16">'Ясногорская д.17 к.1'!$D$14</definedName>
    <definedName name="_133h_F17">'Ясногорская д.17 к.1'!$D$15</definedName>
    <definedName name="_133h_F18">'Ясногорская д.17 к.1'!$D$16</definedName>
    <definedName name="_133h_F19">'Ясногорская д.17 к.1'!$D$17</definedName>
    <definedName name="_133h_F20">'Ясногорская д.17 к.1'!$D$18</definedName>
    <definedName name="_133h_F21">'Ясногорская д.17 к.1'!$D$19</definedName>
    <definedName name="_133h_F22">'Ясногорская д.17 к.1'!$D$20</definedName>
    <definedName name="_133h_F23">'Ясногорская д.17 к.1'!$D$21</definedName>
    <definedName name="_133h_F24">'Ясногорская д.17 к.1'!$D$22</definedName>
    <definedName name="_133h_F25">'Ясногорская д.17 к.1'!$D$23</definedName>
    <definedName name="_133h_F26">'Ясногорская д.17 к.1'!$D$24</definedName>
    <definedName name="_133h_F27">'Ясногорская д.17 к.1'!$D$25</definedName>
    <definedName name="_133h_F28">'Ясногорская д.17 к.1'!$D$26</definedName>
    <definedName name="_133h_F29">'Ясногорская д.17 к.1'!$D$27</definedName>
    <definedName name="_133h_F30">'Ясногорская д.17 к.1'!$D$28</definedName>
    <definedName name="_133h_F31">'Ясногорская д.17 к.1'!$D$29</definedName>
    <definedName name="_133h_F32">'Ясногорская д.17 к.1'!$D$30</definedName>
    <definedName name="_133h_F33">'Ясногорская д.17 к.1'!$D$31</definedName>
    <definedName name="_133h_F34">'Ясногорская д.17 к.1'!$D$32</definedName>
    <definedName name="_133h_F35">'Ясногорская д.17 к.1'!$D$33</definedName>
    <definedName name="_133h_F36">'Ясногорская д.17 к.1'!$D$34</definedName>
    <definedName name="_133h_F37">'Ясногорская д.17 к.1'!$D$35</definedName>
    <definedName name="_133h_F38">'Ясногорская д.17 к.1'!$D$36</definedName>
    <definedName name="_133h_F39">'Ясногорская д.17 к.1'!$D$37</definedName>
    <definedName name="_133h_F40">'Ясногорская д.17 к.1'!$D$38</definedName>
    <definedName name="_133h_F41">'Ясногорская д.17 к.1'!$D$39</definedName>
    <definedName name="_133h_F42">'Ясногорская д.17 к.1'!$D$40</definedName>
    <definedName name="_133h_F43">'Ясногорская д.17 к.1'!$D$41</definedName>
    <definedName name="_133h_F44">'Ясногорская д.17 к.1'!$D$42</definedName>
    <definedName name="_133h_F45">'Ясногорская д.17 к.1'!$D$43</definedName>
    <definedName name="_133h_F46">'Ясногорская д.17 к.1'!$D$44</definedName>
    <definedName name="_133h_F47">'Ясногорская д.17 к.1'!$D$45</definedName>
    <definedName name="_133h_F48">'Ясногорская д.17 к.1'!$D$46</definedName>
    <definedName name="_133h_F49">'Ясногорская д.17 к.1'!$D$47</definedName>
    <definedName name="_133h_F50">'Ясногорская д.17 к.1'!$D$48</definedName>
    <definedName name="_133h_F51">'Ясногорская д.17 к.1'!$D$49</definedName>
    <definedName name="_133h_F52">'Ясногорская д.17 к.1'!#REF!</definedName>
    <definedName name="_133h_F53">'Ясногорская д.17 к.1'!$D$50</definedName>
    <definedName name="_133h_F54">'Ясногорская д.17 к.1'!$D$51</definedName>
    <definedName name="_133h_F55">'Ясногорская д.17 к.1'!$D$52</definedName>
    <definedName name="_133h_F56">'Ясногорская д.17 к.1'!$D$53</definedName>
    <definedName name="_133h_F57">'Ясногорская д.17 к.1'!$D$54</definedName>
    <definedName name="_133h_F58">'Ясногорская д.17 к.1'!$D$55</definedName>
    <definedName name="_133h_F59">'Ясногорская д.17 к.1'!$D$56</definedName>
    <definedName name="_133h_F60">'Ясногорская д.17 к.1'!$D$57</definedName>
    <definedName name="_133h_F61">'Ясногорская д.17 к.1'!$D$58</definedName>
    <definedName name="_133h_F62">'Ясногорская д.17 к.1'!$D$59</definedName>
    <definedName name="_133h_F63">'Ясногорская д.17 к.1'!$D$60</definedName>
    <definedName name="_133h_F64">'Ясногорская д.17 к.1'!$D$61</definedName>
    <definedName name="_133h_F65">'Ясногорская д.17 к.1'!$D$62</definedName>
    <definedName name="_133h_F7">'Ясногорская д.17 к.1'!$D$5</definedName>
    <definedName name="_133h_F8">'Ясногорская д.17 к.1'!$D$6</definedName>
    <definedName name="_133h_F9">'Ясногорская д.17 к.1'!$D$7</definedName>
    <definedName name="_134h_E10">'Ясногорская д.17 к.2'!$C$8</definedName>
    <definedName name="_134h_E11">'Ясногорская д.17 к.2'!$C$9</definedName>
    <definedName name="_134h_E12">'Ясногорская д.17 к.2'!$C$10</definedName>
    <definedName name="_134h_E13">'Ясногорская д.17 к.2'!$C$11</definedName>
    <definedName name="_134h_E14">'Ясногорская д.17 к.2'!$C$12</definedName>
    <definedName name="_134h_E15">'Ясногорская д.17 к.2'!$C$13</definedName>
    <definedName name="_134h_E16">'Ясногорская д.17 к.2'!$C$14</definedName>
    <definedName name="_134h_E17">'Ясногорская д.17 к.2'!$C$15</definedName>
    <definedName name="_134h_E18">'Ясногорская д.17 к.2'!$C$16</definedName>
    <definedName name="_134h_E19">'Ясногорская д.17 к.2'!$C$17</definedName>
    <definedName name="_134h_E20">'Ясногорская д.17 к.2'!$C$18</definedName>
    <definedName name="_134h_E21">'Ясногорская д.17 к.2'!$C$19</definedName>
    <definedName name="_134h_E22">'Ясногорская д.17 к.2'!$C$20</definedName>
    <definedName name="_134h_E23">'Ясногорская д.17 к.2'!$C$21</definedName>
    <definedName name="_134h_E24">'Ясногорская д.17 к.2'!$C$22</definedName>
    <definedName name="_134h_E25">'Ясногорская д.17 к.2'!$C$23</definedName>
    <definedName name="_134h_E26">'Ясногорская д.17 к.2'!$C$24</definedName>
    <definedName name="_134h_E27">'Ясногорская д.17 к.2'!$C$25</definedName>
    <definedName name="_134h_E28">'Ясногорская д.17 к.2'!$C$26</definedName>
    <definedName name="_134h_E29">'Ясногорская д.17 к.2'!$C$27</definedName>
    <definedName name="_134h_E30">'Ясногорская д.17 к.2'!$C$28</definedName>
    <definedName name="_134h_E31">'Ясногорская д.17 к.2'!$C$29</definedName>
    <definedName name="_134h_E32">'Ясногорская д.17 к.2'!$C$30</definedName>
    <definedName name="_134h_E33">'Ясногорская д.17 к.2'!$C$31</definedName>
    <definedName name="_134h_E34">'Ясногорская д.17 к.2'!$C$32</definedName>
    <definedName name="_134h_E35">'Ясногорская д.17 к.2'!$C$33</definedName>
    <definedName name="_134h_E36">'Ясногорская д.17 к.2'!$C$34</definedName>
    <definedName name="_134h_E37">'Ясногорская д.17 к.2'!$C$35</definedName>
    <definedName name="_134h_E38">'Ясногорская д.17 к.2'!$C$36</definedName>
    <definedName name="_134h_E39">'Ясногорская д.17 к.2'!$C$37</definedName>
    <definedName name="_134h_E40">'Ясногорская д.17 к.2'!$C$38</definedName>
    <definedName name="_134h_E41">'Ясногорская д.17 к.2'!$C$39</definedName>
    <definedName name="_134h_E42">'Ясногорская д.17 к.2'!$C$40</definedName>
    <definedName name="_134h_E43">'Ясногорская д.17 к.2'!$C$41</definedName>
    <definedName name="_134h_E44">'Ясногорская д.17 к.2'!$C$42</definedName>
    <definedName name="_134h_E45">'Ясногорская д.17 к.2'!$C$43</definedName>
    <definedName name="_134h_E46">'Ясногорская д.17 к.2'!$C$44</definedName>
    <definedName name="_134h_E47">'Ясногорская д.17 к.2'!$C$45</definedName>
    <definedName name="_134h_E48">'Ясногорская д.17 к.2'!$C$46</definedName>
    <definedName name="_134h_E49">'Ясногорская д.17 к.2'!$C$47</definedName>
    <definedName name="_134h_E50">'Ясногорская д.17 к.2'!$C$48</definedName>
    <definedName name="_134h_E51">'Ясногорская д.17 к.2'!$C$49</definedName>
    <definedName name="_134h_E52">'Ясногорская д.17 к.2'!#REF!</definedName>
    <definedName name="_134h_E53">'Ясногорская д.17 к.2'!$C$50</definedName>
    <definedName name="_134h_E54">'Ясногорская д.17 к.2'!$C$51</definedName>
    <definedName name="_134h_E55">'Ясногорская д.17 к.2'!$C$52</definedName>
    <definedName name="_134h_E56">'Ясногорская д.17 к.2'!$C$53</definedName>
    <definedName name="_134h_E57">'Ясногорская д.17 к.2'!$C$54</definedName>
    <definedName name="_134h_E58">'Ясногорская д.17 к.2'!$C$55</definedName>
    <definedName name="_134h_E59">'Ясногорская д.17 к.2'!$C$56</definedName>
    <definedName name="_134h_E60">'Ясногорская д.17 к.2'!$C$57</definedName>
    <definedName name="_134h_E61">'Ясногорская д.17 к.2'!$C$58</definedName>
    <definedName name="_134h_E62">'Ясногорская д.17 к.2'!$C$59</definedName>
    <definedName name="_134h_E63">'Ясногорская д.17 к.2'!$C$60</definedName>
    <definedName name="_134h_E64">'Ясногорская д.17 к.2'!$C$61</definedName>
    <definedName name="_134h_E65">'Ясногорская д.17 к.2'!$C$62</definedName>
    <definedName name="_134h_E7">'Ясногорская д.17 к.2'!$C$5</definedName>
    <definedName name="_134h_E8">'Ясногорская д.17 к.2'!$C$6</definedName>
    <definedName name="_134h_E9">'Ясногорская д.17 к.2'!$C$7</definedName>
    <definedName name="_134h_F10">'Ясногорская д.17 к.2'!$D$8</definedName>
    <definedName name="_134h_F11">'Ясногорская д.17 к.2'!$D$9</definedName>
    <definedName name="_134h_F12">'Ясногорская д.17 к.2'!$D$10</definedName>
    <definedName name="_134h_F13">'Ясногорская д.17 к.2'!$D$11</definedName>
    <definedName name="_134h_F14">'Ясногорская д.17 к.2'!$D$12</definedName>
    <definedName name="_134h_F15">'Ясногорская д.17 к.2'!$D$13</definedName>
    <definedName name="_134h_F16">'Ясногорская д.17 к.2'!$D$14</definedName>
    <definedName name="_134h_F17">'Ясногорская д.17 к.2'!$D$15</definedName>
    <definedName name="_134h_F18">'Ясногорская д.17 к.2'!$D$16</definedName>
    <definedName name="_134h_F19">'Ясногорская д.17 к.2'!$D$17</definedName>
    <definedName name="_134h_F20">'Ясногорская д.17 к.2'!$D$18</definedName>
    <definedName name="_134h_F21">'Ясногорская д.17 к.2'!$D$19</definedName>
    <definedName name="_134h_F22">'Ясногорская д.17 к.2'!$D$20</definedName>
    <definedName name="_134h_F23">'Ясногорская д.17 к.2'!$D$21</definedName>
    <definedName name="_134h_F24">'Ясногорская д.17 к.2'!$D$22</definedName>
    <definedName name="_134h_F25">'Ясногорская д.17 к.2'!$D$23</definedName>
    <definedName name="_134h_F26">'Ясногорская д.17 к.2'!$D$24</definedName>
    <definedName name="_134h_F27">'Ясногорская д.17 к.2'!$D$25</definedName>
    <definedName name="_134h_F28">'Ясногорская д.17 к.2'!$D$26</definedName>
    <definedName name="_134h_F29">'Ясногорская д.17 к.2'!$D$27</definedName>
    <definedName name="_134h_F30">'Ясногорская д.17 к.2'!$D$28</definedName>
    <definedName name="_134h_F31">'Ясногорская д.17 к.2'!$D$29</definedName>
    <definedName name="_134h_F32">'Ясногорская д.17 к.2'!$D$30</definedName>
    <definedName name="_134h_F33">'Ясногорская д.17 к.2'!$D$31</definedName>
    <definedName name="_134h_F34">'Ясногорская д.17 к.2'!$D$32</definedName>
    <definedName name="_134h_F35">'Ясногорская д.17 к.2'!$D$33</definedName>
    <definedName name="_134h_F36">'Ясногорская д.17 к.2'!$D$34</definedName>
    <definedName name="_134h_F37">'Ясногорская д.17 к.2'!$D$35</definedName>
    <definedName name="_134h_F38">'Ясногорская д.17 к.2'!$D$36</definedName>
    <definedName name="_134h_F39">'Ясногорская д.17 к.2'!$D$37</definedName>
    <definedName name="_134h_F40">'Ясногорская д.17 к.2'!$D$38</definedName>
    <definedName name="_134h_F41">'Ясногорская д.17 к.2'!$D$39</definedName>
    <definedName name="_134h_F42">'Ясногорская д.17 к.2'!$D$40</definedName>
    <definedName name="_134h_F43">'Ясногорская д.17 к.2'!$D$41</definedName>
    <definedName name="_134h_F44">'Ясногорская д.17 к.2'!$D$42</definedName>
    <definedName name="_134h_F45">'Ясногорская д.17 к.2'!$D$43</definedName>
    <definedName name="_134h_F46">'Ясногорская д.17 к.2'!$D$44</definedName>
    <definedName name="_134h_F47">'Ясногорская д.17 к.2'!$D$45</definedName>
    <definedName name="_134h_F48">'Ясногорская д.17 к.2'!$D$46</definedName>
    <definedName name="_134h_F49">'Ясногорская д.17 к.2'!$D$47</definedName>
    <definedName name="_134h_F50">'Ясногорская д.17 к.2'!$D$48</definedName>
    <definedName name="_134h_F51">'Ясногорская д.17 к.2'!$D$49</definedName>
    <definedName name="_134h_F52">'Ясногорская д.17 к.2'!#REF!</definedName>
    <definedName name="_134h_F53">'Ясногорская д.17 к.2'!$D$50</definedName>
    <definedName name="_134h_F54">'Ясногорская д.17 к.2'!$D$51</definedName>
    <definedName name="_134h_F55">'Ясногорская д.17 к.2'!$D$52</definedName>
    <definedName name="_134h_F56">'Ясногорская д.17 к.2'!$D$53</definedName>
    <definedName name="_134h_F57">'Ясногорская д.17 к.2'!$D$54</definedName>
    <definedName name="_134h_F58">'Ясногорская д.17 к.2'!$D$55</definedName>
    <definedName name="_134h_F59">'Ясногорская д.17 к.2'!$D$56</definedName>
    <definedName name="_134h_F60">'Ясногорская д.17 к.2'!$D$57</definedName>
    <definedName name="_134h_F61">'Ясногорская д.17 к.2'!$D$58</definedName>
    <definedName name="_134h_F62">'Ясногорская д.17 к.2'!$D$59</definedName>
    <definedName name="_134h_F63">'Ясногорская д.17 к.2'!$D$60</definedName>
    <definedName name="_134h_F64">'Ясногорская д.17 к.2'!$D$61</definedName>
    <definedName name="_134h_F65">'Ясногорская д.17 к.2'!$D$62</definedName>
    <definedName name="_134h_F7">'Ясногорская д.17 к.2'!$D$5</definedName>
    <definedName name="_134h_F8">'Ясногорская д.17 к.2'!$D$6</definedName>
    <definedName name="_134h_F9">'Ясногорская д.17 к.2'!$D$7</definedName>
    <definedName name="_135h_E10">'Ясногорская д.21 к.1'!$C$8</definedName>
    <definedName name="_135h_E11">'Ясногорская д.21 к.1'!$C$9</definedName>
    <definedName name="_135h_E12">'Ясногорская д.21 к.1'!$C$10</definedName>
    <definedName name="_135h_E13">'Ясногорская д.21 к.1'!$C$11</definedName>
    <definedName name="_135h_E14">'Ясногорская д.21 к.1'!$C$12</definedName>
    <definedName name="_135h_E15">'Ясногорская д.21 к.1'!$C$13</definedName>
    <definedName name="_135h_E16">'Ясногорская д.21 к.1'!$C$14</definedName>
    <definedName name="_135h_E17">'Ясногорская д.21 к.1'!$C$15</definedName>
    <definedName name="_135h_E18">'Ясногорская д.21 к.1'!$C$16</definedName>
    <definedName name="_135h_E19">'Ясногорская д.21 к.1'!$C$17</definedName>
    <definedName name="_135h_E20">'Ясногорская д.21 к.1'!$C$18</definedName>
    <definedName name="_135h_E21">'Ясногорская д.21 к.1'!$C$19</definedName>
    <definedName name="_135h_E22">'Ясногорская д.21 к.1'!$C$20</definedName>
    <definedName name="_135h_E23">'Ясногорская д.21 к.1'!$C$21</definedName>
    <definedName name="_135h_E24">'Ясногорская д.21 к.1'!$C$22</definedName>
    <definedName name="_135h_E25">'Ясногорская д.21 к.1'!$C$23</definedName>
    <definedName name="_135h_E26">'Ясногорская д.21 к.1'!$C$24</definedName>
    <definedName name="_135h_E27">'Ясногорская д.21 к.1'!$C$25</definedName>
    <definedName name="_135h_E28">'Ясногорская д.21 к.1'!$C$26</definedName>
    <definedName name="_135h_E29">'Ясногорская д.21 к.1'!$C$27</definedName>
    <definedName name="_135h_E30">'Ясногорская д.21 к.1'!$C$28</definedName>
    <definedName name="_135h_E31">'Ясногорская д.21 к.1'!$C$29</definedName>
    <definedName name="_135h_E32">'Ясногорская д.21 к.1'!$C$30</definedName>
    <definedName name="_135h_E33">'Ясногорская д.21 к.1'!$C$31</definedName>
    <definedName name="_135h_E34">'Ясногорская д.21 к.1'!$C$32</definedName>
    <definedName name="_135h_E35">'Ясногорская д.21 к.1'!$C$33</definedName>
    <definedName name="_135h_E36">'Ясногорская д.21 к.1'!$C$34</definedName>
    <definedName name="_135h_E37">'Ясногорская д.21 к.1'!$C$35</definedName>
    <definedName name="_135h_E38">'Ясногорская д.21 к.1'!$C$36</definedName>
    <definedName name="_135h_E39">'Ясногорская д.21 к.1'!$C$37</definedName>
    <definedName name="_135h_E40">'Ясногорская д.21 к.1'!$C$38</definedName>
    <definedName name="_135h_E41">'Ясногорская д.21 к.1'!$C$39</definedName>
    <definedName name="_135h_E42">'Ясногорская д.21 к.1'!$C$40</definedName>
    <definedName name="_135h_E43">'Ясногорская д.21 к.1'!$C$41</definedName>
    <definedName name="_135h_E44">'Ясногорская д.21 к.1'!$C$42</definedName>
    <definedName name="_135h_E45">'Ясногорская д.21 к.1'!$C$43</definedName>
    <definedName name="_135h_E46">'Ясногорская д.21 к.1'!$C$44</definedName>
    <definedName name="_135h_E47">'Ясногорская д.21 к.1'!$C$45</definedName>
    <definedName name="_135h_E48">'Ясногорская д.21 к.1'!$C$46</definedName>
    <definedName name="_135h_E49">'Ясногорская д.21 к.1'!$C$47</definedName>
    <definedName name="_135h_E50">'Ясногорская д.21 к.1'!$C$48</definedName>
    <definedName name="_135h_E51">'Ясногорская д.21 к.1'!$C$49</definedName>
    <definedName name="_135h_E52">'Ясногорская д.21 к.1'!#REF!</definedName>
    <definedName name="_135h_E53">'Ясногорская д.21 к.1'!$C$50</definedName>
    <definedName name="_135h_E54">'Ясногорская д.21 к.1'!$C$51</definedName>
    <definedName name="_135h_E55">'Ясногорская д.21 к.1'!$C$52</definedName>
    <definedName name="_135h_E56">'Ясногорская д.21 к.1'!$C$53</definedName>
    <definedName name="_135h_E57">'Ясногорская д.21 к.1'!$C$54</definedName>
    <definedName name="_135h_E58">'Ясногорская д.21 к.1'!$C$55</definedName>
    <definedName name="_135h_E59">'Ясногорская д.21 к.1'!$C$56</definedName>
    <definedName name="_135h_E60">'Ясногорская д.21 к.1'!$C$57</definedName>
    <definedName name="_135h_E61">'Ясногорская д.21 к.1'!$C$58</definedName>
    <definedName name="_135h_E62">'Ясногорская д.21 к.1'!$C$59</definedName>
    <definedName name="_135h_E63">'Ясногорская д.21 к.1'!#REF!</definedName>
    <definedName name="_135h_E64">'Ясногорская д.21 к.1'!$C$60</definedName>
    <definedName name="_135h_E65">'Ясногорская д.21 к.1'!$C$61</definedName>
    <definedName name="_135h_E7">'Ясногорская д.21 к.1'!$C$5</definedName>
    <definedName name="_135h_E8">'Ясногорская д.21 к.1'!$C$6</definedName>
    <definedName name="_135h_E9">'Ясногорская д.21 к.1'!$C$7</definedName>
    <definedName name="_135h_F10">'Ясногорская д.21 к.1'!$D$8</definedName>
    <definedName name="_135h_F11">'Ясногорская д.21 к.1'!$D$9</definedName>
    <definedName name="_135h_F12">'Ясногорская д.21 к.1'!$D$10</definedName>
    <definedName name="_135h_F13">'Ясногорская д.21 к.1'!$D$11</definedName>
    <definedName name="_135h_F14">'Ясногорская д.21 к.1'!$D$12</definedName>
    <definedName name="_135h_F15">'Ясногорская д.21 к.1'!$D$13</definedName>
    <definedName name="_135h_F16">'Ясногорская д.21 к.1'!$D$14</definedName>
    <definedName name="_135h_F17">'Ясногорская д.21 к.1'!$D$15</definedName>
    <definedName name="_135h_F18">'Ясногорская д.21 к.1'!$D$16</definedName>
    <definedName name="_135h_F19">'Ясногорская д.21 к.1'!$D$17</definedName>
    <definedName name="_135h_F20">'Ясногорская д.21 к.1'!$D$18</definedName>
    <definedName name="_135h_F21">'Ясногорская д.21 к.1'!$D$19</definedName>
    <definedName name="_135h_F22">'Ясногорская д.21 к.1'!$D$20</definedName>
    <definedName name="_135h_F23">'Ясногорская д.21 к.1'!$D$21</definedName>
    <definedName name="_135h_F24">'Ясногорская д.21 к.1'!$D$22</definedName>
    <definedName name="_135h_F25">'Ясногорская д.21 к.1'!$D$23</definedName>
    <definedName name="_135h_F26">'Ясногорская д.21 к.1'!$D$24</definedName>
    <definedName name="_135h_F27">'Ясногорская д.21 к.1'!$D$25</definedName>
    <definedName name="_135h_F28">'Ясногорская д.21 к.1'!$D$26</definedName>
    <definedName name="_135h_F29">'Ясногорская д.21 к.1'!$D$27</definedName>
    <definedName name="_135h_F30">'Ясногорская д.21 к.1'!$D$28</definedName>
    <definedName name="_135h_F31">'Ясногорская д.21 к.1'!$D$29</definedName>
    <definedName name="_135h_F32">'Ясногорская д.21 к.1'!$D$30</definedName>
    <definedName name="_135h_F33">'Ясногорская д.21 к.1'!$D$31</definedName>
    <definedName name="_135h_F34">'Ясногорская д.21 к.1'!$D$32</definedName>
    <definedName name="_135h_F35">'Ясногорская д.21 к.1'!$D$33</definedName>
    <definedName name="_135h_F36">'Ясногорская д.21 к.1'!$D$34</definedName>
    <definedName name="_135h_F37">'Ясногорская д.21 к.1'!$D$35</definedName>
    <definedName name="_135h_F38">'Ясногорская д.21 к.1'!$D$36</definedName>
    <definedName name="_135h_F39">'Ясногорская д.21 к.1'!$D$37</definedName>
    <definedName name="_135h_F40">'Ясногорская д.21 к.1'!$D$38</definedName>
    <definedName name="_135h_F41">'Ясногорская д.21 к.1'!$D$39</definedName>
    <definedName name="_135h_F42">'Ясногорская д.21 к.1'!$D$40</definedName>
    <definedName name="_135h_F43">'Ясногорская д.21 к.1'!$D$41</definedName>
    <definedName name="_135h_F44">'Ясногорская д.21 к.1'!$D$42</definedName>
    <definedName name="_135h_F45">'Ясногорская д.21 к.1'!$D$43</definedName>
    <definedName name="_135h_F46">'Ясногорская д.21 к.1'!$D$44</definedName>
    <definedName name="_135h_F47">'Ясногорская д.21 к.1'!$D$45</definedName>
    <definedName name="_135h_F48">'Ясногорская д.21 к.1'!$D$46</definedName>
    <definedName name="_135h_F49">'Ясногорская д.21 к.1'!$D$47</definedName>
    <definedName name="_135h_F50">'Ясногорская д.21 к.1'!$D$48</definedName>
    <definedName name="_135h_F51">'Ясногорская д.21 к.1'!$D$49</definedName>
    <definedName name="_135h_F52">'Ясногорская д.21 к.1'!#REF!</definedName>
    <definedName name="_135h_F53">'Ясногорская д.21 к.1'!$D$50</definedName>
    <definedName name="_135h_F54">'Ясногорская д.21 к.1'!$D$51</definedName>
    <definedName name="_135h_F55">'Ясногорская д.21 к.1'!$D$52</definedName>
    <definedName name="_135h_F56">'Ясногорская д.21 к.1'!$D$53</definedName>
    <definedName name="_135h_F57">'Ясногорская д.21 к.1'!$D$54</definedName>
    <definedName name="_135h_F58">'Ясногорская д.21 к.1'!$D$55</definedName>
    <definedName name="_135h_F59">'Ясногорская д.21 к.1'!$D$56</definedName>
    <definedName name="_135h_F60">'Ясногорская д.21 к.1'!$D$57</definedName>
    <definedName name="_135h_F61">'Ясногорская д.21 к.1'!$D$58</definedName>
    <definedName name="_135h_F62">'Ясногорская д.21 к.1'!$D$59</definedName>
    <definedName name="_135h_F63">'Ясногорская д.21 к.1'!#REF!</definedName>
    <definedName name="_135h_F64">'Ясногорская д.21 к.1'!$D$60</definedName>
    <definedName name="_135h_F65">'Ясногорская д.21 к.1'!$D$61</definedName>
    <definedName name="_135h_F7">'Ясногорская д.21 к.1'!$D$5</definedName>
    <definedName name="_135h_F8">'Ясногорская д.21 к.1'!$D$6</definedName>
    <definedName name="_135h_F9">'Ясногорская д.21 к.1'!$D$7</definedName>
    <definedName name="_136h_E10">'Ясногорская д.21 к.2'!$C$8</definedName>
    <definedName name="_136h_E11">'Ясногорская д.21 к.2'!$C$9</definedName>
    <definedName name="_136h_E12">'Ясногорская д.21 к.2'!$C$10</definedName>
    <definedName name="_136h_E13">'Ясногорская д.21 к.2'!$C$11</definedName>
    <definedName name="_136h_E14">'Ясногорская д.21 к.2'!$C$12</definedName>
    <definedName name="_136h_E15">'Ясногорская д.21 к.2'!$C$13</definedName>
    <definedName name="_136h_E16">'Ясногорская д.21 к.2'!$C$14</definedName>
    <definedName name="_136h_E17">'Ясногорская д.21 к.2'!$C$15</definedName>
    <definedName name="_136h_E18">'Ясногорская д.21 к.2'!$C$16</definedName>
    <definedName name="_136h_E19">'Ясногорская д.21 к.2'!$C$17</definedName>
    <definedName name="_136h_E20">'Ясногорская д.21 к.2'!$C$18</definedName>
    <definedName name="_136h_E21">'Ясногорская д.21 к.2'!$C$19</definedName>
    <definedName name="_136h_E22">'Ясногорская д.21 к.2'!$C$20</definedName>
    <definedName name="_136h_E23">'Ясногорская д.21 к.2'!$C$21</definedName>
    <definedName name="_136h_E24">'Ясногорская д.21 к.2'!$C$22</definedName>
    <definedName name="_136h_E25">'Ясногорская д.21 к.2'!$C$23</definedName>
    <definedName name="_136h_E26">'Ясногорская д.21 к.2'!$C$24</definedName>
    <definedName name="_136h_E27">'Ясногорская д.21 к.2'!$C$25</definedName>
    <definedName name="_136h_E28">'Ясногорская д.21 к.2'!$C$26</definedName>
    <definedName name="_136h_E29">'Ясногорская д.21 к.2'!$C$27</definedName>
    <definedName name="_136h_E30">'Ясногорская д.21 к.2'!$C$28</definedName>
    <definedName name="_136h_E31">'Ясногорская д.21 к.2'!$C$29</definedName>
    <definedName name="_136h_E32">'Ясногорская д.21 к.2'!$C$30</definedName>
    <definedName name="_136h_E33">'Ясногорская д.21 к.2'!$C$31</definedName>
    <definedName name="_136h_E34">'Ясногорская д.21 к.2'!$C$32</definedName>
    <definedName name="_136h_E35">'Ясногорская д.21 к.2'!$C$33</definedName>
    <definedName name="_136h_E36">'Ясногорская д.21 к.2'!$C$34</definedName>
    <definedName name="_136h_E37">'Ясногорская д.21 к.2'!$C$35</definedName>
    <definedName name="_136h_E38">'Ясногорская д.21 к.2'!$C$36</definedName>
    <definedName name="_136h_E39">'Ясногорская д.21 к.2'!$C$37</definedName>
    <definedName name="_136h_E40">'Ясногорская д.21 к.2'!$C$38</definedName>
    <definedName name="_136h_E41">'Ясногорская д.21 к.2'!$C$39</definedName>
    <definedName name="_136h_E42">'Ясногорская д.21 к.2'!$C$40</definedName>
    <definedName name="_136h_E43">'Ясногорская д.21 к.2'!$C$41</definedName>
    <definedName name="_136h_E44">'Ясногорская д.21 к.2'!$C$42</definedName>
    <definedName name="_136h_E45">'Ясногорская д.21 к.2'!$C$43</definedName>
    <definedName name="_136h_E46">'Ясногорская д.21 к.2'!$C$44</definedName>
    <definedName name="_136h_E47">'Ясногорская д.21 к.2'!$C$45</definedName>
    <definedName name="_136h_E48">'Ясногорская д.21 к.2'!$C$46</definedName>
    <definedName name="_136h_E49">'Ясногорская д.21 к.2'!$C$47</definedName>
    <definedName name="_136h_E50">'Ясногорская д.21 к.2'!$C$48</definedName>
    <definedName name="_136h_E51">'Ясногорская д.21 к.2'!$C$49</definedName>
    <definedName name="_136h_E52">'Ясногорская д.21 к.2'!#REF!</definedName>
    <definedName name="_136h_E53">'Ясногорская д.21 к.2'!$C$50</definedName>
    <definedName name="_136h_E54">'Ясногорская д.21 к.2'!$C$51</definedName>
    <definedName name="_136h_E55">'Ясногорская д.21 к.2'!$C$52</definedName>
    <definedName name="_136h_E56">'Ясногорская д.21 к.2'!$C$53</definedName>
    <definedName name="_136h_E57">'Ясногорская д.21 к.2'!$C$54</definedName>
    <definedName name="_136h_E58">'Ясногорская д.21 к.2'!$C$55</definedName>
    <definedName name="_136h_E59">'Ясногорская д.21 к.2'!$C$56</definedName>
    <definedName name="_136h_E60">'Ясногорская д.21 к.2'!$C$57</definedName>
    <definedName name="_136h_E61">'Ясногорская д.21 к.2'!$C$58</definedName>
    <definedName name="_136h_E62">'Ясногорская д.21 к.2'!$C$59</definedName>
    <definedName name="_136h_E63">'Ясногорская д.21 к.2'!#REF!</definedName>
    <definedName name="_136h_E64">'Ясногорская д.21 к.2'!$C$60</definedName>
    <definedName name="_136h_E65">'Ясногорская д.21 к.2'!$C$61</definedName>
    <definedName name="_136h_E7">'Ясногорская д.21 к.2'!$C$5</definedName>
    <definedName name="_136h_E8">'Ясногорская д.21 к.2'!$C$6</definedName>
    <definedName name="_136h_E9">'Ясногорская д.21 к.2'!$C$7</definedName>
    <definedName name="_136h_F10">'Ясногорская д.21 к.2'!$D$8</definedName>
    <definedName name="_136h_F11">'Ясногорская д.21 к.2'!$D$9</definedName>
    <definedName name="_136h_F12">'Ясногорская д.21 к.2'!$D$10</definedName>
    <definedName name="_136h_F13">'Ясногорская д.21 к.2'!$D$11</definedName>
    <definedName name="_136h_F14">'Ясногорская д.21 к.2'!$D$12</definedName>
    <definedName name="_136h_F15">'Ясногорская д.21 к.2'!$D$13</definedName>
    <definedName name="_136h_F16">'Ясногорская д.21 к.2'!$D$14</definedName>
    <definedName name="_136h_F17">'Ясногорская д.21 к.2'!$D$15</definedName>
    <definedName name="_136h_F18">'Ясногорская д.21 к.2'!$D$16</definedName>
    <definedName name="_136h_F19">'Ясногорская д.21 к.2'!$D$17</definedName>
    <definedName name="_136h_F20">'Ясногорская д.21 к.2'!$D$18</definedName>
    <definedName name="_136h_F21">'Ясногорская д.21 к.2'!$D$19</definedName>
    <definedName name="_136h_F22">'Ясногорская д.21 к.2'!$D$20</definedName>
    <definedName name="_136h_F23">'Ясногорская д.21 к.2'!$D$21</definedName>
    <definedName name="_136h_F24">'Ясногорская д.21 к.2'!$D$22</definedName>
    <definedName name="_136h_F25">'Ясногорская д.21 к.2'!$D$23</definedName>
    <definedName name="_136h_F26">'Ясногорская д.21 к.2'!$D$24</definedName>
    <definedName name="_136h_F27">'Ясногорская д.21 к.2'!$D$25</definedName>
    <definedName name="_136h_F28">'Ясногорская д.21 к.2'!$D$26</definedName>
    <definedName name="_136h_F29">'Ясногорская д.21 к.2'!$D$27</definedName>
    <definedName name="_136h_F30">'Ясногорская д.21 к.2'!$D$28</definedName>
    <definedName name="_136h_F31">'Ясногорская д.21 к.2'!$D$29</definedName>
    <definedName name="_136h_F32">'Ясногорская д.21 к.2'!$D$30</definedName>
    <definedName name="_136h_F33">'Ясногорская д.21 к.2'!$D$31</definedName>
    <definedName name="_136h_F34">'Ясногорская д.21 к.2'!$D$32</definedName>
    <definedName name="_136h_F35">'Ясногорская д.21 к.2'!$D$33</definedName>
    <definedName name="_136h_F36">'Ясногорская д.21 к.2'!$D$34</definedName>
    <definedName name="_136h_F37">'Ясногорская д.21 к.2'!$D$35</definedName>
    <definedName name="_136h_F38">'Ясногорская д.21 к.2'!$D$36</definedName>
    <definedName name="_136h_F39">'Ясногорская д.21 к.2'!$D$37</definedName>
    <definedName name="_136h_F40">'Ясногорская д.21 к.2'!$D$38</definedName>
    <definedName name="_136h_F41">'Ясногорская д.21 к.2'!$D$39</definedName>
    <definedName name="_136h_F42">'Ясногорская д.21 к.2'!$D$40</definedName>
    <definedName name="_136h_F43">'Ясногорская д.21 к.2'!$D$41</definedName>
    <definedName name="_136h_F44">'Ясногорская д.21 к.2'!$D$42</definedName>
    <definedName name="_136h_F45">'Ясногорская д.21 к.2'!$D$43</definedName>
    <definedName name="_136h_F46">'Ясногорская д.21 к.2'!$D$44</definedName>
    <definedName name="_136h_F47">'Ясногорская д.21 к.2'!$D$45</definedName>
    <definedName name="_136h_F48">'Ясногорская д.21 к.2'!$D$46</definedName>
    <definedName name="_136h_F49">'Ясногорская д.21 к.2'!$D$47</definedName>
    <definedName name="_136h_F50">'Ясногорская д.21 к.2'!$D$48</definedName>
    <definedName name="_136h_F51">'Ясногорская д.21 к.2'!$D$49</definedName>
    <definedName name="_136h_F52">'Ясногорская д.21 к.2'!#REF!</definedName>
    <definedName name="_136h_F53">'Ясногорская д.21 к.2'!$D$50</definedName>
    <definedName name="_136h_F54">'Ясногорская д.21 к.2'!$D$51</definedName>
    <definedName name="_136h_F55">'Ясногорская д.21 к.2'!$D$52</definedName>
    <definedName name="_136h_F56">'Ясногорская д.21 к.2'!$D$53</definedName>
    <definedName name="_136h_F57">'Ясногорская д.21 к.2'!$D$54</definedName>
    <definedName name="_136h_F58">'Ясногорская д.21 к.2'!$D$55</definedName>
    <definedName name="_136h_F59">'Ясногорская д.21 к.2'!$D$56</definedName>
    <definedName name="_136h_F60">'Ясногорская д.21 к.2'!$D$57</definedName>
    <definedName name="_136h_F61">'Ясногорская д.21 к.2'!$D$58</definedName>
    <definedName name="_136h_F62">'Ясногорская д.21 к.2'!$D$59</definedName>
    <definedName name="_136h_F63">'Ясногорская д.21 к.2'!#REF!</definedName>
    <definedName name="_136h_F64">'Ясногорская д.21 к.2'!$D$60</definedName>
    <definedName name="_136h_F65">'Ясногорская д.21 к.2'!$D$61</definedName>
    <definedName name="_136h_F7">'Ясногорская д.21 к.2'!$D$5</definedName>
    <definedName name="_136h_F8">'Ясногорская д.21 к.2'!$D$6</definedName>
    <definedName name="_136h_F9">'Ясногорская д.21 к.2'!$D$7</definedName>
    <definedName name="_13h_E10">'Голубинская д.3 к.1'!$C$8</definedName>
    <definedName name="_13h_E11">'Голубинская д.3 к.1'!$C$9</definedName>
    <definedName name="_13h_E12">'Голубинская д.3 к.1'!$C$10</definedName>
    <definedName name="_13h_E13">'Голубинская д.3 к.1'!$C$11</definedName>
    <definedName name="_13h_E14">'Голубинская д.3 к.1'!$C$12</definedName>
    <definedName name="_13h_E15">'Голубинская д.3 к.1'!$C$13</definedName>
    <definedName name="_13h_E16">'Голубинская д.3 к.1'!$C$14</definedName>
    <definedName name="_13h_E17">'Голубинская д.3 к.1'!$C$15</definedName>
    <definedName name="_13h_E18">'Голубинская д.3 к.1'!$C$16</definedName>
    <definedName name="_13h_E19">'Голубинская д.3 к.1'!$C$17</definedName>
    <definedName name="_13h_E20">'Голубинская д.3 к.1'!$C$18</definedName>
    <definedName name="_13h_E21">'Голубинская д.3 к.1'!$C$19</definedName>
    <definedName name="_13h_E22">'Голубинская д.3 к.1'!$C$20</definedName>
    <definedName name="_13h_E23">'Голубинская д.3 к.1'!$C$21</definedName>
    <definedName name="_13h_E24">'Голубинская д.3 к.1'!$C$22</definedName>
    <definedName name="_13h_E25">'Голубинская д.3 к.1'!$C$23</definedName>
    <definedName name="_13h_E26">'Голубинская д.3 к.1'!$C$24</definedName>
    <definedName name="_13h_E27">'Голубинская д.3 к.1'!$C$25</definedName>
    <definedName name="_13h_E28">'Голубинская д.3 к.1'!$C$26</definedName>
    <definedName name="_13h_E29">'Голубинская д.3 к.1'!$C$27</definedName>
    <definedName name="_13h_E30">'Голубинская д.3 к.1'!$C$28</definedName>
    <definedName name="_13h_E31">'Голубинская д.3 к.1'!$C$29</definedName>
    <definedName name="_13h_E32">'Голубинская д.3 к.1'!$C$30</definedName>
    <definedName name="_13h_E33">'Голубинская д.3 к.1'!$C$31</definedName>
    <definedName name="_13h_E34">'Голубинская д.3 к.1'!$C$32</definedName>
    <definedName name="_13h_E35">'Голубинская д.3 к.1'!$C$33</definedName>
    <definedName name="_13h_E36">'Голубинская д.3 к.1'!$C$34</definedName>
    <definedName name="_13h_E37">'Голубинская д.3 к.1'!$C$35</definedName>
    <definedName name="_13h_E38">'Голубинская д.3 к.1'!$C$36</definedName>
    <definedName name="_13h_E39">'Голубинская д.3 к.1'!$C$37</definedName>
    <definedName name="_13h_E40">'Голубинская д.3 к.1'!$C$38</definedName>
    <definedName name="_13h_E41">'Голубинская д.3 к.1'!$C$39</definedName>
    <definedName name="_13h_E42">'Голубинская д.3 к.1'!$C$40</definedName>
    <definedName name="_13h_E43">'Голубинская д.3 к.1'!$C$41</definedName>
    <definedName name="_13h_E44">'Голубинская д.3 к.1'!$C$42</definedName>
    <definedName name="_13h_E45">'Голубинская д.3 к.1'!$C$43</definedName>
    <definedName name="_13h_E46">'Голубинская д.3 к.1'!$C$44</definedName>
    <definedName name="_13h_E47">'Голубинская д.3 к.1'!$C$45</definedName>
    <definedName name="_13h_E48">'Голубинская д.3 к.1'!$C$46</definedName>
    <definedName name="_13h_E49">'Голубинская д.3 к.1'!$C$47</definedName>
    <definedName name="_13h_E50">'Голубинская д.3 к.1'!$C$48</definedName>
    <definedName name="_13h_E51">'Голубинская д.3 к.1'!$C$49</definedName>
    <definedName name="_13h_E52">'Голубинская д.3 к.1'!#REF!</definedName>
    <definedName name="_13h_E53">'Голубинская д.3 к.1'!$C$50</definedName>
    <definedName name="_13h_E54">'Голубинская д.3 к.1'!$C$51</definedName>
    <definedName name="_13h_E55">'Голубинская д.3 к.1'!$C$52</definedName>
    <definedName name="_13h_E56">'Голубинская д.3 к.1'!$C$53</definedName>
    <definedName name="_13h_E57">'Голубинская д.3 к.1'!$C$54</definedName>
    <definedName name="_13h_E58">'Голубинская д.3 к.1'!$C$55</definedName>
    <definedName name="_13h_E59">'Голубинская д.3 к.1'!$C$56</definedName>
    <definedName name="_13h_E60">'Голубинская д.3 к.1'!$C$57</definedName>
    <definedName name="_13h_E61">'Голубинская д.3 к.1'!$C$58</definedName>
    <definedName name="_13h_E62">'Голубинская д.3 к.1'!$C$59</definedName>
    <definedName name="_13h_E63">'Голубинская д.3 к.1'!#REF!</definedName>
    <definedName name="_13h_E64">'Голубинская д.3 к.1'!$C$60</definedName>
    <definedName name="_13h_E65">'Голубинская д.3 к.1'!$C$61</definedName>
    <definedName name="_13h_E7">'Голубинская д.3 к.1'!$C$5</definedName>
    <definedName name="_13h_E8">'Голубинская д.3 к.1'!$C$6</definedName>
    <definedName name="_13h_E9">'Голубинская д.3 к.1'!$C$7</definedName>
    <definedName name="_13h_F10">'Голубинская д.3 к.1'!$D$8</definedName>
    <definedName name="_13h_F11">'Голубинская д.3 к.1'!$D$9</definedName>
    <definedName name="_13h_F12">'Голубинская д.3 к.1'!$D$10</definedName>
    <definedName name="_13h_F13">'Голубинская д.3 к.1'!$D$11</definedName>
    <definedName name="_13h_F14">'Голубинская д.3 к.1'!$D$12</definedName>
    <definedName name="_13h_F15">'Голубинская д.3 к.1'!$D$13</definedName>
    <definedName name="_13h_F16">'Голубинская д.3 к.1'!$D$14</definedName>
    <definedName name="_13h_F17">'Голубинская д.3 к.1'!$D$15</definedName>
    <definedName name="_13h_F18">'Голубинская д.3 к.1'!$D$16</definedName>
    <definedName name="_13h_F19">'Голубинская д.3 к.1'!$D$17</definedName>
    <definedName name="_13h_F20">'Голубинская д.3 к.1'!$D$18</definedName>
    <definedName name="_13h_F21">'Голубинская д.3 к.1'!$D$19</definedName>
    <definedName name="_13h_F22">'Голубинская д.3 к.1'!$D$20</definedName>
    <definedName name="_13h_F23">'Голубинская д.3 к.1'!$D$21</definedName>
    <definedName name="_13h_F24">'Голубинская д.3 к.1'!$D$22</definedName>
    <definedName name="_13h_F25">'Голубинская д.3 к.1'!$D$23</definedName>
    <definedName name="_13h_F26">'Голубинская д.3 к.1'!$D$24</definedName>
    <definedName name="_13h_F27">'Голубинская д.3 к.1'!$D$25</definedName>
    <definedName name="_13h_F28">'Голубинская д.3 к.1'!$D$26</definedName>
    <definedName name="_13h_F29">'Голубинская д.3 к.1'!$D$27</definedName>
    <definedName name="_13h_F30">'Голубинская д.3 к.1'!$D$28</definedName>
    <definedName name="_13h_F31">'Голубинская д.3 к.1'!$D$29</definedName>
    <definedName name="_13h_F32">'Голубинская д.3 к.1'!$D$30</definedName>
    <definedName name="_13h_F33">'Голубинская д.3 к.1'!$D$31</definedName>
    <definedName name="_13h_F34">'Голубинская д.3 к.1'!$D$32</definedName>
    <definedName name="_13h_F35">'Голубинская д.3 к.1'!$D$33</definedName>
    <definedName name="_13h_F36">'Голубинская д.3 к.1'!$D$34</definedName>
    <definedName name="_13h_F37">'Голубинская д.3 к.1'!$D$35</definedName>
    <definedName name="_13h_F38">'Голубинская д.3 к.1'!$D$36</definedName>
    <definedName name="_13h_F39">'Голубинская д.3 к.1'!$D$37</definedName>
    <definedName name="_13h_F40">'Голубинская д.3 к.1'!$D$38</definedName>
    <definedName name="_13h_F41">'Голубинская д.3 к.1'!$D$39</definedName>
    <definedName name="_13h_F42">'Голубинская д.3 к.1'!$D$40</definedName>
    <definedName name="_13h_F43">'Голубинская д.3 к.1'!$D$41</definedName>
    <definedName name="_13h_F44">'Голубинская д.3 к.1'!$D$42</definedName>
    <definedName name="_13h_F45">'Голубинская д.3 к.1'!$D$43</definedName>
    <definedName name="_13h_F46">'Голубинская д.3 к.1'!$D$44</definedName>
    <definedName name="_13h_F47">'Голубинская д.3 к.1'!$D$45</definedName>
    <definedName name="_13h_F48">'Голубинская д.3 к.1'!$D$46</definedName>
    <definedName name="_13h_F49">'Голубинская д.3 к.1'!$D$47</definedName>
    <definedName name="_13h_F50">'Голубинская д.3 к.1'!$D$48</definedName>
    <definedName name="_13h_F51">'Голубинская д.3 к.1'!$D$49</definedName>
    <definedName name="_13h_F52">'Голубинская д.3 к.1'!#REF!</definedName>
    <definedName name="_13h_F53">'Голубинская д.3 к.1'!$D$50</definedName>
    <definedName name="_13h_F54">'Голубинская д.3 к.1'!$D$51</definedName>
    <definedName name="_13h_F55">'Голубинская д.3 к.1'!$D$52</definedName>
    <definedName name="_13h_F56">'Голубинская д.3 к.1'!$D$53</definedName>
    <definedName name="_13h_F57">'Голубинская д.3 к.1'!$D$54</definedName>
    <definedName name="_13h_F58">'Голубинская д.3 к.1'!$D$55</definedName>
    <definedName name="_13h_F59">'Голубинская д.3 к.1'!$D$56</definedName>
    <definedName name="_13h_F60">'Голубинская д.3 к.1'!$D$57</definedName>
    <definedName name="_13h_F61">'Голубинская д.3 к.1'!$D$58</definedName>
    <definedName name="_13h_F62">'Голубинская д.3 к.1'!$D$59</definedName>
    <definedName name="_13h_F63">'Голубинская д.3 к.1'!#REF!</definedName>
    <definedName name="_13h_F64">'Голубинская д.3 к.1'!$D$60</definedName>
    <definedName name="_13h_F65">'Голубинская д.3 к.1'!$D$61</definedName>
    <definedName name="_13h_F7">'Голубинская д.3 к.1'!$D$5</definedName>
    <definedName name="_13h_F8">'Голубинская д.3 к.1'!$D$6</definedName>
    <definedName name="_13h_F9">'Голубинская д.3 к.1'!$D$7</definedName>
    <definedName name="_14h_E10">'Голубинская д.7 к.2'!$C$8</definedName>
    <definedName name="_14h_E11">'Голубинская д.7 к.2'!$C$9</definedName>
    <definedName name="_14h_E12">'Голубинская д.7 к.2'!$C$10</definedName>
    <definedName name="_14h_E13">'Голубинская д.7 к.2'!$C$11</definedName>
    <definedName name="_14h_E14">'Голубинская д.7 к.2'!$C$12</definedName>
    <definedName name="_14h_E15">'Голубинская д.7 к.2'!$C$13</definedName>
    <definedName name="_14h_E16">'Голубинская д.7 к.2'!$C$14</definedName>
    <definedName name="_14h_E17">'Голубинская д.7 к.2'!$C$15</definedName>
    <definedName name="_14h_E18">'Голубинская д.7 к.2'!$C$16</definedName>
    <definedName name="_14h_E19">'Голубинская д.7 к.2'!$C$17</definedName>
    <definedName name="_14h_E20">'Голубинская д.7 к.2'!$C$18</definedName>
    <definedName name="_14h_E21">'Голубинская д.7 к.2'!$C$19</definedName>
    <definedName name="_14h_E22">'Голубинская д.7 к.2'!$C$20</definedName>
    <definedName name="_14h_E23">'Голубинская д.7 к.2'!$C$21</definedName>
    <definedName name="_14h_E24">'Голубинская д.7 к.2'!$C$22</definedName>
    <definedName name="_14h_E25">'Голубинская д.7 к.2'!$C$23</definedName>
    <definedName name="_14h_E26">'Голубинская д.7 к.2'!$C$24</definedName>
    <definedName name="_14h_E27">'Голубинская д.7 к.2'!$C$25</definedName>
    <definedName name="_14h_E28">'Голубинская д.7 к.2'!$C$26</definedName>
    <definedName name="_14h_E29">'Голубинская д.7 к.2'!$C$27</definedName>
    <definedName name="_14h_E30">'Голубинская д.7 к.2'!$C$28</definedName>
    <definedName name="_14h_E31">'Голубинская д.7 к.2'!$C$29</definedName>
    <definedName name="_14h_E32">'Голубинская д.7 к.2'!$C$30</definedName>
    <definedName name="_14h_E33">'Голубинская д.7 к.2'!$C$31</definedName>
    <definedName name="_14h_E34">'Голубинская д.7 к.2'!$C$32</definedName>
    <definedName name="_14h_E35">'Голубинская д.7 к.2'!$C$33</definedName>
    <definedName name="_14h_E36">'Голубинская д.7 к.2'!$C$34</definedName>
    <definedName name="_14h_E37">'Голубинская д.7 к.2'!$C$35</definedName>
    <definedName name="_14h_E38">'Голубинская д.7 к.2'!$C$36</definedName>
    <definedName name="_14h_E39">'Голубинская д.7 к.2'!$C$37</definedName>
    <definedName name="_14h_E40">'Голубинская д.7 к.2'!$C$38</definedName>
    <definedName name="_14h_E41">'Голубинская д.7 к.2'!$C$39</definedName>
    <definedName name="_14h_E42">'Голубинская д.7 к.2'!$C$40</definedName>
    <definedName name="_14h_E43">'Голубинская д.7 к.2'!$C$41</definedName>
    <definedName name="_14h_E44">'Голубинская д.7 к.2'!$C$42</definedName>
    <definedName name="_14h_E45">'Голубинская д.7 к.2'!$C$43</definedName>
    <definedName name="_14h_E46">'Голубинская д.7 к.2'!$C$44</definedName>
    <definedName name="_14h_E47">'Голубинская д.7 к.2'!$C$45</definedName>
    <definedName name="_14h_E48">'Голубинская д.7 к.2'!$C$46</definedName>
    <definedName name="_14h_E49">'Голубинская д.7 к.2'!$C$47</definedName>
    <definedName name="_14h_E50">'Голубинская д.7 к.2'!$C$48</definedName>
    <definedName name="_14h_E51">'Голубинская д.7 к.2'!$C$49</definedName>
    <definedName name="_14h_E52">'Голубинская д.7 к.2'!#REF!</definedName>
    <definedName name="_14h_E53">'Голубинская д.7 к.2'!$C$50</definedName>
    <definedName name="_14h_E54">'Голубинская д.7 к.2'!$C$51</definedName>
    <definedName name="_14h_E55">'Голубинская д.7 к.2'!$C$52</definedName>
    <definedName name="_14h_E56">'Голубинская д.7 к.2'!$C$53</definedName>
    <definedName name="_14h_E57">'Голубинская д.7 к.2'!$C$54</definedName>
    <definedName name="_14h_E58">'Голубинская д.7 к.2'!$C$55</definedName>
    <definedName name="_14h_E59">'Голубинская д.7 к.2'!$C$56</definedName>
    <definedName name="_14h_E60">'Голубинская д.7 к.2'!$C$57</definedName>
    <definedName name="_14h_E61">'Голубинская д.7 к.2'!$C$58</definedName>
    <definedName name="_14h_E62">'Голубинская д.7 к.2'!$C$59</definedName>
    <definedName name="_14h_E63">'Голубинская д.7 к.2'!#REF!</definedName>
    <definedName name="_14h_E64">'Голубинская д.7 к.2'!$C$60</definedName>
    <definedName name="_14h_E65">'Голубинская д.7 к.2'!$C$61</definedName>
    <definedName name="_14h_E7">'Голубинская д.7 к.2'!$C$5</definedName>
    <definedName name="_14h_E8">'Голубинская д.7 к.2'!$C$6</definedName>
    <definedName name="_14h_E9">'Голубинская д.7 к.2'!$C$7</definedName>
    <definedName name="_14h_F10">'Голубинская д.7 к.2'!$D$8</definedName>
    <definedName name="_14h_F11">'Голубинская д.7 к.2'!$D$9</definedName>
    <definedName name="_14h_F12">'Голубинская д.7 к.2'!$D$10</definedName>
    <definedName name="_14h_F13">'Голубинская д.7 к.2'!$D$11</definedName>
    <definedName name="_14h_F14">'Голубинская д.7 к.2'!$D$12</definedName>
    <definedName name="_14h_F15">'Голубинская д.7 к.2'!$D$13</definedName>
    <definedName name="_14h_F16">'Голубинская д.7 к.2'!$D$14</definedName>
    <definedName name="_14h_F17">'Голубинская д.7 к.2'!$D$15</definedName>
    <definedName name="_14h_F18">'Голубинская д.7 к.2'!$D$16</definedName>
    <definedName name="_14h_F19">'Голубинская д.7 к.2'!$D$17</definedName>
    <definedName name="_14h_F20">'Голубинская д.7 к.2'!$D$18</definedName>
    <definedName name="_14h_F21">'Голубинская д.7 к.2'!$D$19</definedName>
    <definedName name="_14h_F22">'Голубинская д.7 к.2'!$D$20</definedName>
    <definedName name="_14h_F23">'Голубинская д.7 к.2'!$D$21</definedName>
    <definedName name="_14h_F24">'Голубинская д.7 к.2'!$D$22</definedName>
    <definedName name="_14h_F25">'Голубинская д.7 к.2'!$D$23</definedName>
    <definedName name="_14h_F26">'Голубинская д.7 к.2'!$D$24</definedName>
    <definedName name="_14h_F27">'Голубинская д.7 к.2'!$D$25</definedName>
    <definedName name="_14h_F28">'Голубинская д.7 к.2'!$D$26</definedName>
    <definedName name="_14h_F29">'Голубинская д.7 к.2'!$D$27</definedName>
    <definedName name="_14h_F30">'Голубинская д.7 к.2'!$D$28</definedName>
    <definedName name="_14h_F31">'Голубинская д.7 к.2'!$D$29</definedName>
    <definedName name="_14h_F32">'Голубинская д.7 к.2'!$D$30</definedName>
    <definedName name="_14h_F33">'Голубинская д.7 к.2'!$D$31</definedName>
    <definedName name="_14h_F34">'Голубинская д.7 к.2'!$D$32</definedName>
    <definedName name="_14h_F35">'Голубинская д.7 к.2'!$D$33</definedName>
    <definedName name="_14h_F36">'Голубинская д.7 к.2'!$D$34</definedName>
    <definedName name="_14h_F37">'Голубинская д.7 к.2'!$D$35</definedName>
    <definedName name="_14h_F38">'Голубинская д.7 к.2'!$D$36</definedName>
    <definedName name="_14h_F39">'Голубинская д.7 к.2'!$D$37</definedName>
    <definedName name="_14h_F40">'Голубинская д.7 к.2'!$D$38</definedName>
    <definedName name="_14h_F41">'Голубинская д.7 к.2'!$D$39</definedName>
    <definedName name="_14h_F42">'Голубинская д.7 к.2'!$D$40</definedName>
    <definedName name="_14h_F43">'Голубинская д.7 к.2'!$D$41</definedName>
    <definedName name="_14h_F44">'Голубинская д.7 к.2'!$D$42</definedName>
    <definedName name="_14h_F45">'Голубинская д.7 к.2'!$D$43</definedName>
    <definedName name="_14h_F46">'Голубинская д.7 к.2'!$D$44</definedName>
    <definedName name="_14h_F47">'Голубинская д.7 к.2'!$D$45</definedName>
    <definedName name="_14h_F48">'Голубинская д.7 к.2'!$D$46</definedName>
    <definedName name="_14h_F49">'Голубинская д.7 к.2'!$D$47</definedName>
    <definedName name="_14h_F50">'Голубинская д.7 к.2'!$D$48</definedName>
    <definedName name="_14h_F51">'Голубинская д.7 к.2'!$D$49</definedName>
    <definedName name="_14h_F52">'Голубинская д.7 к.2'!#REF!</definedName>
    <definedName name="_14h_F53">'Голубинская д.7 к.2'!$D$50</definedName>
    <definedName name="_14h_F54">'Голубинская д.7 к.2'!$D$51</definedName>
    <definedName name="_14h_F55">'Голубинская д.7 к.2'!$D$52</definedName>
    <definedName name="_14h_F56">'Голубинская д.7 к.2'!$D$53</definedName>
    <definedName name="_14h_F57">'Голубинская д.7 к.2'!$D$54</definedName>
    <definedName name="_14h_F58">'Голубинская д.7 к.2'!$D$55</definedName>
    <definedName name="_14h_F59">'Голубинская д.7 к.2'!$D$56</definedName>
    <definedName name="_14h_F60">'Голубинская д.7 к.2'!$D$57</definedName>
    <definedName name="_14h_F61">'Голубинская д.7 к.2'!$D$58</definedName>
    <definedName name="_14h_F62">'Голубинская д.7 к.2'!$D$59</definedName>
    <definedName name="_14h_F63">'Голубинская д.7 к.2'!#REF!</definedName>
    <definedName name="_14h_F64">'Голубинская д.7 к.2'!$D$60</definedName>
    <definedName name="_14h_F65">'Голубинская д.7 к.2'!$D$61</definedName>
    <definedName name="_14h_F7">'Голубинская д.7 к.2'!$D$5</definedName>
    <definedName name="_14h_F8">'Голубинская д.7 к.2'!$D$6</definedName>
    <definedName name="_14h_F9">'Голубинская д.7 к.2'!$D$7</definedName>
    <definedName name="_15h_E10">'Голубинская д.7 к.5'!$C$8</definedName>
    <definedName name="_15h_E11">'Голубинская д.7 к.5'!$C$9</definedName>
    <definedName name="_15h_E12">'Голубинская д.7 к.5'!$C$10</definedName>
    <definedName name="_15h_E13">'Голубинская д.7 к.5'!$C$11</definedName>
    <definedName name="_15h_E14">'Голубинская д.7 к.5'!$C$12</definedName>
    <definedName name="_15h_E15">'Голубинская д.7 к.5'!$C$13</definedName>
    <definedName name="_15h_E16">'Голубинская д.7 к.5'!$C$14</definedName>
    <definedName name="_15h_E17">'Голубинская д.7 к.5'!$C$15</definedName>
    <definedName name="_15h_E18">'Голубинская д.7 к.5'!$C$16</definedName>
    <definedName name="_15h_E19">'Голубинская д.7 к.5'!$C$17</definedName>
    <definedName name="_15h_E20">'Голубинская д.7 к.5'!$C$18</definedName>
    <definedName name="_15h_E21">'Голубинская д.7 к.5'!$C$19</definedName>
    <definedName name="_15h_E22">'Голубинская д.7 к.5'!$C$20</definedName>
    <definedName name="_15h_E23">'Голубинская д.7 к.5'!$C$21</definedName>
    <definedName name="_15h_E24">'Голубинская д.7 к.5'!$C$22</definedName>
    <definedName name="_15h_E25">'Голубинская д.7 к.5'!$C$23</definedName>
    <definedName name="_15h_E26">'Голубинская д.7 к.5'!$C$24</definedName>
    <definedName name="_15h_E27">'Голубинская д.7 к.5'!$C$25</definedName>
    <definedName name="_15h_E28">'Голубинская д.7 к.5'!$C$26</definedName>
    <definedName name="_15h_E29">'Голубинская д.7 к.5'!$C$27</definedName>
    <definedName name="_15h_E30">'Голубинская д.7 к.5'!$C$28</definedName>
    <definedName name="_15h_E31">'Голубинская д.7 к.5'!$C$29</definedName>
    <definedName name="_15h_E32">'Голубинская д.7 к.5'!$C$30</definedName>
    <definedName name="_15h_E33">'Голубинская д.7 к.5'!$C$31</definedName>
    <definedName name="_15h_E34">'Голубинская д.7 к.5'!$C$32</definedName>
    <definedName name="_15h_E35">'Голубинская д.7 к.5'!$C$33</definedName>
    <definedName name="_15h_E36">'Голубинская д.7 к.5'!$C$34</definedName>
    <definedName name="_15h_E37">'Голубинская д.7 к.5'!$C$35</definedName>
    <definedName name="_15h_E38">'Голубинская д.7 к.5'!$C$36</definedName>
    <definedName name="_15h_E39">'Голубинская д.7 к.5'!$C$37</definedName>
    <definedName name="_15h_E40">'Голубинская д.7 к.5'!$C$38</definedName>
    <definedName name="_15h_E41">'Голубинская д.7 к.5'!$C$39</definedName>
    <definedName name="_15h_E42">'Голубинская д.7 к.5'!$C$40</definedName>
    <definedName name="_15h_E43">'Голубинская д.7 к.5'!$C$41</definedName>
    <definedName name="_15h_E44">'Голубинская д.7 к.5'!$C$42</definedName>
    <definedName name="_15h_E45">'Голубинская д.7 к.5'!$C$43</definedName>
    <definedName name="_15h_E46">'Голубинская д.7 к.5'!$C$44</definedName>
    <definedName name="_15h_E47">'Голубинская д.7 к.5'!$C$45</definedName>
    <definedName name="_15h_E48">'Голубинская д.7 к.5'!$C$46</definedName>
    <definedName name="_15h_E49">'Голубинская д.7 к.5'!$C$47</definedName>
    <definedName name="_15h_E50">'Голубинская д.7 к.5'!$C$48</definedName>
    <definedName name="_15h_E51">'Голубинская д.7 к.5'!$C$49</definedName>
    <definedName name="_15h_E52">'Голубинская д.7 к.5'!#REF!</definedName>
    <definedName name="_15h_E53">'Голубинская д.7 к.5'!$C$50</definedName>
    <definedName name="_15h_E54">'Голубинская д.7 к.5'!$C$51</definedName>
    <definedName name="_15h_E55">'Голубинская д.7 к.5'!$C$52</definedName>
    <definedName name="_15h_E56">'Голубинская д.7 к.5'!$C$53</definedName>
    <definedName name="_15h_E57">'Голубинская д.7 к.5'!$C$54</definedName>
    <definedName name="_15h_E58">'Голубинская д.7 к.5'!$C$55</definedName>
    <definedName name="_15h_E59">'Голубинская д.7 к.5'!$C$56</definedName>
    <definedName name="_15h_E60">'Голубинская д.7 к.5'!$C$57</definedName>
    <definedName name="_15h_E61">'Голубинская д.7 к.5'!$C$58</definedName>
    <definedName name="_15h_E62">'Голубинская д.7 к.5'!$C$59</definedName>
    <definedName name="_15h_E63">'Голубинская д.7 к.5'!#REF!</definedName>
    <definedName name="_15h_E64">'Голубинская д.7 к.5'!$C$60</definedName>
    <definedName name="_15h_E65">'Голубинская д.7 к.5'!$C$61</definedName>
    <definedName name="_15h_E7">'Голубинская д.7 к.5'!$C$5</definedName>
    <definedName name="_15h_E8">'Голубинская д.7 к.5'!$C$6</definedName>
    <definedName name="_15h_E9">'Голубинская д.7 к.5'!$C$7</definedName>
    <definedName name="_15h_F10">'Голубинская д.7 к.5'!$D$8</definedName>
    <definedName name="_15h_F11">'Голубинская д.7 к.5'!$D$9</definedName>
    <definedName name="_15h_F12">'Голубинская д.7 к.5'!$D$10</definedName>
    <definedName name="_15h_F13">'Голубинская д.7 к.5'!$D$11</definedName>
    <definedName name="_15h_F14">'Голубинская д.7 к.5'!$D$12</definedName>
    <definedName name="_15h_F15">'Голубинская д.7 к.5'!$D$13</definedName>
    <definedName name="_15h_F16">'Голубинская д.7 к.5'!$D$14</definedName>
    <definedName name="_15h_F17">'Голубинская д.7 к.5'!$D$15</definedName>
    <definedName name="_15h_F18">'Голубинская д.7 к.5'!$D$16</definedName>
    <definedName name="_15h_F19">'Голубинская д.7 к.5'!$D$17</definedName>
    <definedName name="_15h_F20">'Голубинская д.7 к.5'!$D$18</definedName>
    <definedName name="_15h_F21">'Голубинская д.7 к.5'!$D$19</definedName>
    <definedName name="_15h_F22">'Голубинская д.7 к.5'!$D$20</definedName>
    <definedName name="_15h_F23">'Голубинская д.7 к.5'!$D$21</definedName>
    <definedName name="_15h_F24">'Голубинская д.7 к.5'!$D$22</definedName>
    <definedName name="_15h_F25">'Голубинская д.7 к.5'!$D$23</definedName>
    <definedName name="_15h_F26">'Голубинская д.7 к.5'!$D$24</definedName>
    <definedName name="_15h_F27">'Голубинская д.7 к.5'!$D$25</definedName>
    <definedName name="_15h_F28">'Голубинская д.7 к.5'!$D$26</definedName>
    <definedName name="_15h_F29">'Голубинская д.7 к.5'!$D$27</definedName>
    <definedName name="_15h_F30">'Голубинская д.7 к.5'!$D$28</definedName>
    <definedName name="_15h_F31">'Голубинская д.7 к.5'!$D$29</definedName>
    <definedName name="_15h_F32">'Голубинская д.7 к.5'!$D$30</definedName>
    <definedName name="_15h_F33">'Голубинская д.7 к.5'!$D$31</definedName>
    <definedName name="_15h_F34">'Голубинская д.7 к.5'!$D$32</definedName>
    <definedName name="_15h_F35">'Голубинская д.7 к.5'!$D$33</definedName>
    <definedName name="_15h_F36">'Голубинская д.7 к.5'!$D$34</definedName>
    <definedName name="_15h_F37">'Голубинская д.7 к.5'!$D$35</definedName>
    <definedName name="_15h_F38">'Голубинская д.7 к.5'!$D$36</definedName>
    <definedName name="_15h_F39">'Голубинская д.7 к.5'!$D$37</definedName>
    <definedName name="_15h_F40">'Голубинская д.7 к.5'!$D$38</definedName>
    <definedName name="_15h_F41">'Голубинская д.7 к.5'!$D$39</definedName>
    <definedName name="_15h_F42">'Голубинская д.7 к.5'!$D$40</definedName>
    <definedName name="_15h_F43">'Голубинская д.7 к.5'!$D$41</definedName>
    <definedName name="_15h_F44">'Голубинская д.7 к.5'!$D$42</definedName>
    <definedName name="_15h_F45">'Голубинская д.7 к.5'!$D$43</definedName>
    <definedName name="_15h_F46">'Голубинская д.7 к.5'!$D$44</definedName>
    <definedName name="_15h_F47">'Голубинская д.7 к.5'!$D$45</definedName>
    <definedName name="_15h_F48">'Голубинская д.7 к.5'!$D$46</definedName>
    <definedName name="_15h_F49">'Голубинская д.7 к.5'!$D$47</definedName>
    <definedName name="_15h_F50">'Голубинская д.7 к.5'!$D$48</definedName>
    <definedName name="_15h_F51">'Голубинская д.7 к.5'!$D$49</definedName>
    <definedName name="_15h_F52">'Голубинская д.7 к.5'!#REF!</definedName>
    <definedName name="_15h_F53">'Голубинская д.7 к.5'!$D$50</definedName>
    <definedName name="_15h_F54">'Голубинская д.7 к.5'!$D$51</definedName>
    <definedName name="_15h_F55">'Голубинская д.7 к.5'!$D$52</definedName>
    <definedName name="_15h_F56">'Голубинская д.7 к.5'!$D$53</definedName>
    <definedName name="_15h_F57">'Голубинская д.7 к.5'!$D$54</definedName>
    <definedName name="_15h_F58">'Голубинская д.7 к.5'!$D$55</definedName>
    <definedName name="_15h_F59">'Голубинская д.7 к.5'!$D$56</definedName>
    <definedName name="_15h_F60">'Голубинская д.7 к.5'!$D$57</definedName>
    <definedName name="_15h_F61">'Голубинская д.7 к.5'!$D$58</definedName>
    <definedName name="_15h_F62">'Голубинская д.7 к.5'!$D$59</definedName>
    <definedName name="_15h_F63">'Голубинская д.7 к.5'!#REF!</definedName>
    <definedName name="_15h_F64">'Голубинская д.7 к.5'!$D$60</definedName>
    <definedName name="_15h_F65">'Голубинская д.7 к.5'!$D$61</definedName>
    <definedName name="_15h_F7">'Голубинская д.7 к.5'!$D$5</definedName>
    <definedName name="_15h_F8">'Голубинская д.7 к.5'!$D$6</definedName>
    <definedName name="_15h_F9">'Голубинская д.7 к.5'!$D$7</definedName>
    <definedName name="_16h_E10">'Голубинская д.9'!$C$8</definedName>
    <definedName name="_16h_E11">'Голубинская д.9'!$C$9</definedName>
    <definedName name="_16h_E12">'Голубинская д.9'!$C$10</definedName>
    <definedName name="_16h_E13">'Голубинская д.9'!$C$11</definedName>
    <definedName name="_16h_E14">'Голубинская д.9'!$C$12</definedName>
    <definedName name="_16h_E15">'Голубинская д.9'!$C$13</definedName>
    <definedName name="_16h_E16">'Голубинская д.9'!$C$14</definedName>
    <definedName name="_16h_E17">'Голубинская д.9'!$C$15</definedName>
    <definedName name="_16h_E18">'Голубинская д.9'!$C$16</definedName>
    <definedName name="_16h_E19">'Голубинская д.9'!$C$17</definedName>
    <definedName name="_16h_E20">'Голубинская д.9'!$C$18</definedName>
    <definedName name="_16h_E21">'Голубинская д.9'!$C$19</definedName>
    <definedName name="_16h_E22">'Голубинская д.9'!$C$20</definedName>
    <definedName name="_16h_E23">'Голубинская д.9'!$C$21</definedName>
    <definedName name="_16h_E24">'Голубинская д.9'!$C$22</definedName>
    <definedName name="_16h_E25">'Голубинская д.9'!$C$23</definedName>
    <definedName name="_16h_E26">'Голубинская д.9'!$C$24</definedName>
    <definedName name="_16h_E27">'Голубинская д.9'!$C$25</definedName>
    <definedName name="_16h_E28">'Голубинская д.9'!$C$26</definedName>
    <definedName name="_16h_E29">'Голубинская д.9'!$C$27</definedName>
    <definedName name="_16h_E30">'Голубинская д.9'!$C$28</definedName>
    <definedName name="_16h_E31">'Голубинская д.9'!$C$29</definedName>
    <definedName name="_16h_E32">'Голубинская д.9'!$C$30</definedName>
    <definedName name="_16h_E33">'Голубинская д.9'!$C$31</definedName>
    <definedName name="_16h_E34">'Голубинская д.9'!$C$32</definedName>
    <definedName name="_16h_E35">'Голубинская д.9'!$C$33</definedName>
    <definedName name="_16h_E36">'Голубинская д.9'!$C$34</definedName>
    <definedName name="_16h_E37">'Голубинская д.9'!$C$35</definedName>
    <definedName name="_16h_E38">'Голубинская д.9'!$C$36</definedName>
    <definedName name="_16h_E39">'Голубинская д.9'!$C$37</definedName>
    <definedName name="_16h_E40">'Голубинская д.9'!$C$38</definedName>
    <definedName name="_16h_E41">'Голубинская д.9'!$C$39</definedName>
    <definedName name="_16h_E42">'Голубинская д.9'!$C$40</definedName>
    <definedName name="_16h_E43">'Голубинская д.9'!$C$41</definedName>
    <definedName name="_16h_E44">'Голубинская д.9'!$C$42</definedName>
    <definedName name="_16h_E45">'Голубинская д.9'!$C$43</definedName>
    <definedName name="_16h_E46">'Голубинская д.9'!$C$44</definedName>
    <definedName name="_16h_E47">'Голубинская д.9'!$C$45</definedName>
    <definedName name="_16h_E48">'Голубинская д.9'!$C$46</definedName>
    <definedName name="_16h_E49">'Голубинская д.9'!$C$47</definedName>
    <definedName name="_16h_E50">'Голубинская д.9'!$C$48</definedName>
    <definedName name="_16h_E51">'Голубинская д.9'!$C$49</definedName>
    <definedName name="_16h_E52">'Голубинская д.9'!#REF!</definedName>
    <definedName name="_16h_E53">'Голубинская д.9'!$C$50</definedName>
    <definedName name="_16h_E54">'Голубинская д.9'!$C$51</definedName>
    <definedName name="_16h_E55">'Голубинская д.9'!$C$52</definedName>
    <definedName name="_16h_E56">'Голубинская д.9'!$C$53</definedName>
    <definedName name="_16h_E57">'Голубинская д.9'!$C$54</definedName>
    <definedName name="_16h_E58">'Голубинская д.9'!$C$55</definedName>
    <definedName name="_16h_E59">'Голубинская д.9'!$C$56</definedName>
    <definedName name="_16h_E60">'Голубинская д.9'!$C$57</definedName>
    <definedName name="_16h_E61">'Голубинская д.9'!$C$58</definedName>
    <definedName name="_16h_E62">'Голубинская д.9'!$C$59</definedName>
    <definedName name="_16h_E63">'Голубинская д.9'!#REF!</definedName>
    <definedName name="_16h_E64">'Голубинская д.9'!$C$60</definedName>
    <definedName name="_16h_E65">'Голубинская д.9'!$C$61</definedName>
    <definedName name="_16h_E7">'Голубинская д.9'!$C$5</definedName>
    <definedName name="_16h_E8">'Голубинская д.9'!$C$6</definedName>
    <definedName name="_16h_E9">'Голубинская д.9'!$C$7</definedName>
    <definedName name="_16h_F10">'Голубинская д.9'!$D$8</definedName>
    <definedName name="_16h_F11">'Голубинская д.9'!$D$9</definedName>
    <definedName name="_16h_F12">'Голубинская д.9'!$D$10</definedName>
    <definedName name="_16h_F13">'Голубинская д.9'!$D$11</definedName>
    <definedName name="_16h_F14">'Голубинская д.9'!$D$12</definedName>
    <definedName name="_16h_F15">'Голубинская д.9'!$D$13</definedName>
    <definedName name="_16h_F16">'Голубинская д.9'!$D$14</definedName>
    <definedName name="_16h_F17">'Голубинская д.9'!$D$15</definedName>
    <definedName name="_16h_F18">'Голубинская д.9'!$D$16</definedName>
    <definedName name="_16h_F19">'Голубинская д.9'!$D$17</definedName>
    <definedName name="_16h_F20">'Голубинская д.9'!$D$18</definedName>
    <definedName name="_16h_F21">'Голубинская д.9'!$D$19</definedName>
    <definedName name="_16h_F22">'Голубинская д.9'!$D$20</definedName>
    <definedName name="_16h_F23">'Голубинская д.9'!$D$21</definedName>
    <definedName name="_16h_F24">'Голубинская д.9'!$D$22</definedName>
    <definedName name="_16h_F25">'Голубинская д.9'!$D$23</definedName>
    <definedName name="_16h_F26">'Голубинская д.9'!$D$24</definedName>
    <definedName name="_16h_F27">'Голубинская д.9'!$D$25</definedName>
    <definedName name="_16h_F28">'Голубинская д.9'!$D$26</definedName>
    <definedName name="_16h_F29">'Голубинская д.9'!$D$27</definedName>
    <definedName name="_16h_F30">'Голубинская д.9'!$D$28</definedName>
    <definedName name="_16h_F31">'Голубинская д.9'!$D$29</definedName>
    <definedName name="_16h_F32">'Голубинская д.9'!$D$30</definedName>
    <definedName name="_16h_F33">'Голубинская д.9'!$D$31</definedName>
    <definedName name="_16h_F34">'Голубинская д.9'!$D$32</definedName>
    <definedName name="_16h_F35">'Голубинская д.9'!$D$33</definedName>
    <definedName name="_16h_F36">'Голубинская д.9'!$D$34</definedName>
    <definedName name="_16h_F37">'Голубинская д.9'!$D$35</definedName>
    <definedName name="_16h_F38">'Голубинская д.9'!$D$36</definedName>
    <definedName name="_16h_F39">'Голубинская д.9'!$D$37</definedName>
    <definedName name="_16h_F40">'Голубинская д.9'!$D$38</definedName>
    <definedName name="_16h_F41">'Голубинская д.9'!$D$39</definedName>
    <definedName name="_16h_F42">'Голубинская д.9'!$D$40</definedName>
    <definedName name="_16h_F43">'Голубинская д.9'!$D$41</definedName>
    <definedName name="_16h_F44">'Голубинская д.9'!$D$42</definedName>
    <definedName name="_16h_F45">'Голубинская д.9'!$D$43</definedName>
    <definedName name="_16h_F46">'Голубинская д.9'!$D$44</definedName>
    <definedName name="_16h_F47">'Голубинская д.9'!$D$45</definedName>
    <definedName name="_16h_F48">'Голубинская д.9'!$D$46</definedName>
    <definedName name="_16h_F49">'Голубинская д.9'!$D$47</definedName>
    <definedName name="_16h_F50">'Голубинская д.9'!$D$48</definedName>
    <definedName name="_16h_F51">'Голубинская д.9'!$D$49</definedName>
    <definedName name="_16h_F52">'Голубинская д.9'!#REF!</definedName>
    <definedName name="_16h_F53">'Голубинская д.9'!$D$50</definedName>
    <definedName name="_16h_F54">'Голубинская д.9'!$D$51</definedName>
    <definedName name="_16h_F55">'Голубинская д.9'!$D$52</definedName>
    <definedName name="_16h_F56">'Голубинская д.9'!$D$53</definedName>
    <definedName name="_16h_F57">'Голубинская д.9'!$D$54</definedName>
    <definedName name="_16h_F58">'Голубинская д.9'!$D$55</definedName>
    <definedName name="_16h_F59">'Голубинская д.9'!$D$56</definedName>
    <definedName name="_16h_F60">'Голубинская д.9'!$D$57</definedName>
    <definedName name="_16h_F61">'Голубинская д.9'!$D$58</definedName>
    <definedName name="_16h_F62">'Голубинская д.9'!$D$59</definedName>
    <definedName name="_16h_F63">'Голубинская д.9'!#REF!</definedName>
    <definedName name="_16h_F64">'Голубинская д.9'!$D$60</definedName>
    <definedName name="_16h_F65">'Голубинская д.9'!$D$61</definedName>
    <definedName name="_16h_F7">'Голубинская д.9'!$D$5</definedName>
    <definedName name="_16h_F8">'Голубинская д.9'!$D$6</definedName>
    <definedName name="_16h_F9">'Голубинская д.9'!$D$7</definedName>
    <definedName name="_17h_E10">'Голубинская д.13 к.1'!$C$8</definedName>
    <definedName name="_17h_E11">'Голубинская д.13 к.1'!$C$9</definedName>
    <definedName name="_17h_E12">'Голубинская д.13 к.1'!$C$10</definedName>
    <definedName name="_17h_E13">'Голубинская д.13 к.1'!$C$11</definedName>
    <definedName name="_17h_E14">'Голубинская д.13 к.1'!$C$12</definedName>
    <definedName name="_17h_E15">'Голубинская д.13 к.1'!$C$13</definedName>
    <definedName name="_17h_E16">'Голубинская д.13 к.1'!$C$14</definedName>
    <definedName name="_17h_E17">'Голубинская д.13 к.1'!$C$15</definedName>
    <definedName name="_17h_E18">'Голубинская д.13 к.1'!$C$16</definedName>
    <definedName name="_17h_E19">'Голубинская д.13 к.1'!$C$17</definedName>
    <definedName name="_17h_E20">'Голубинская д.13 к.1'!$C$18</definedName>
    <definedName name="_17h_E21">'Голубинская д.13 к.1'!$C$19</definedName>
    <definedName name="_17h_E22">'Голубинская д.13 к.1'!$C$20</definedName>
    <definedName name="_17h_E23">'Голубинская д.13 к.1'!$C$21</definedName>
    <definedName name="_17h_E24">'Голубинская д.13 к.1'!$C$22</definedName>
    <definedName name="_17h_E25">'Голубинская д.13 к.1'!$C$23</definedName>
    <definedName name="_17h_E26">'Голубинская д.13 к.1'!$C$24</definedName>
    <definedName name="_17h_E27">'Голубинская д.13 к.1'!$C$25</definedName>
    <definedName name="_17h_E28">'Голубинская д.13 к.1'!$C$26</definedName>
    <definedName name="_17h_E29">'Голубинская д.13 к.1'!$C$27</definedName>
    <definedName name="_17h_E30">'Голубинская д.13 к.1'!$C$28</definedName>
    <definedName name="_17h_E31">'Голубинская д.13 к.1'!$C$29</definedName>
    <definedName name="_17h_E32">'Голубинская д.13 к.1'!$C$30</definedName>
    <definedName name="_17h_E33">'Голубинская д.13 к.1'!$C$31</definedName>
    <definedName name="_17h_E34">'Голубинская д.13 к.1'!$C$32</definedName>
    <definedName name="_17h_E35">'Голубинская д.13 к.1'!$C$33</definedName>
    <definedName name="_17h_E36">'Голубинская д.13 к.1'!$C$34</definedName>
    <definedName name="_17h_E37">'Голубинская д.13 к.1'!$C$35</definedName>
    <definedName name="_17h_E38">'Голубинская д.13 к.1'!$C$36</definedName>
    <definedName name="_17h_E39">'Голубинская д.13 к.1'!$C$37</definedName>
    <definedName name="_17h_E40">'Голубинская д.13 к.1'!$C$38</definedName>
    <definedName name="_17h_E41">'Голубинская д.13 к.1'!$C$39</definedName>
    <definedName name="_17h_E42">'Голубинская д.13 к.1'!$C$40</definedName>
    <definedName name="_17h_E43">'Голубинская д.13 к.1'!$C$41</definedName>
    <definedName name="_17h_E44">'Голубинская д.13 к.1'!$C$42</definedName>
    <definedName name="_17h_E45">'Голубинская д.13 к.1'!$C$43</definedName>
    <definedName name="_17h_E46">'Голубинская д.13 к.1'!$C$44</definedName>
    <definedName name="_17h_E47">'Голубинская д.13 к.1'!$C$45</definedName>
    <definedName name="_17h_E48">'Голубинская д.13 к.1'!$C$46</definedName>
    <definedName name="_17h_E49">'Голубинская д.13 к.1'!$C$47</definedName>
    <definedName name="_17h_E50">'Голубинская д.13 к.1'!$C$48</definedName>
    <definedName name="_17h_E51">'Голубинская д.13 к.1'!$C$49</definedName>
    <definedName name="_17h_E52">'Голубинская д.13 к.1'!#REF!</definedName>
    <definedName name="_17h_E53">'Голубинская д.13 к.1'!$C$50</definedName>
    <definedName name="_17h_E54">'Голубинская д.13 к.1'!$C$51</definedName>
    <definedName name="_17h_E55">'Голубинская д.13 к.1'!$C$52</definedName>
    <definedName name="_17h_E56">'Голубинская д.13 к.1'!$C$53</definedName>
    <definedName name="_17h_E57">'Голубинская д.13 к.1'!$C$54</definedName>
    <definedName name="_17h_E58">'Голубинская д.13 к.1'!$C$55</definedName>
    <definedName name="_17h_E59">'Голубинская д.13 к.1'!$C$56</definedName>
    <definedName name="_17h_E60">'Голубинская д.13 к.1'!$C$57</definedName>
    <definedName name="_17h_E61">'Голубинская д.13 к.1'!$C$58</definedName>
    <definedName name="_17h_E62">'Голубинская д.13 к.1'!$C$59</definedName>
    <definedName name="_17h_E63">'Голубинская д.13 к.1'!#REF!</definedName>
    <definedName name="_17h_E64">'Голубинская д.13 к.1'!$C$60</definedName>
    <definedName name="_17h_E65">'Голубинская д.13 к.1'!$C$61</definedName>
    <definedName name="_17h_E7">'Голубинская д.13 к.1'!$C$5</definedName>
    <definedName name="_17h_E8">'Голубинская д.13 к.1'!$C$6</definedName>
    <definedName name="_17h_E9">'Голубинская д.13 к.1'!$C$7</definedName>
    <definedName name="_17h_F10">'Голубинская д.13 к.1'!$D$8</definedName>
    <definedName name="_17h_F11">'Голубинская д.13 к.1'!$D$9</definedName>
    <definedName name="_17h_F12">'Голубинская д.13 к.1'!$D$10</definedName>
    <definedName name="_17h_F13">'Голубинская д.13 к.1'!$D$11</definedName>
    <definedName name="_17h_F14">'Голубинская д.13 к.1'!$D$12</definedName>
    <definedName name="_17h_F15">'Голубинская д.13 к.1'!$D$13</definedName>
    <definedName name="_17h_F16">'Голубинская д.13 к.1'!$D$14</definedName>
    <definedName name="_17h_F17">'Голубинская д.13 к.1'!$D$15</definedName>
    <definedName name="_17h_F18">'Голубинская д.13 к.1'!$D$16</definedName>
    <definedName name="_17h_F19">'Голубинская д.13 к.1'!$D$17</definedName>
    <definedName name="_17h_F20">'Голубинская д.13 к.1'!$D$18</definedName>
    <definedName name="_17h_F21">'Голубинская д.13 к.1'!$D$19</definedName>
    <definedName name="_17h_F22">'Голубинская д.13 к.1'!$D$20</definedName>
    <definedName name="_17h_F23">'Голубинская д.13 к.1'!$D$21</definedName>
    <definedName name="_17h_F24">'Голубинская д.13 к.1'!$D$22</definedName>
    <definedName name="_17h_F25">'Голубинская д.13 к.1'!$D$23</definedName>
    <definedName name="_17h_F26">'Голубинская д.13 к.1'!$D$24</definedName>
    <definedName name="_17h_F27">'Голубинская д.13 к.1'!$D$25</definedName>
    <definedName name="_17h_F28">'Голубинская д.13 к.1'!$D$26</definedName>
    <definedName name="_17h_F29">'Голубинская д.13 к.1'!$D$27</definedName>
    <definedName name="_17h_F30">'Голубинская д.13 к.1'!$D$28</definedName>
    <definedName name="_17h_F31">'Голубинская д.13 к.1'!$D$29</definedName>
    <definedName name="_17h_F32">'Голубинская д.13 к.1'!$D$30</definedName>
    <definedName name="_17h_F33">'Голубинская д.13 к.1'!$D$31</definedName>
    <definedName name="_17h_F34">'Голубинская д.13 к.1'!$D$32</definedName>
    <definedName name="_17h_F35">'Голубинская д.13 к.1'!$D$33</definedName>
    <definedName name="_17h_F36">'Голубинская д.13 к.1'!$D$34</definedName>
    <definedName name="_17h_F37">'Голубинская д.13 к.1'!$D$35</definedName>
    <definedName name="_17h_F38">'Голубинская д.13 к.1'!$D$36</definedName>
    <definedName name="_17h_F39">'Голубинская д.13 к.1'!$D$37</definedName>
    <definedName name="_17h_F40">'Голубинская д.13 к.1'!$D$38</definedName>
    <definedName name="_17h_F41">'Голубинская д.13 к.1'!$D$39</definedName>
    <definedName name="_17h_F42">'Голубинская д.13 к.1'!$D$40</definedName>
    <definedName name="_17h_F43">'Голубинская д.13 к.1'!$D$41</definedName>
    <definedName name="_17h_F44">'Голубинская д.13 к.1'!$D$42</definedName>
    <definedName name="_17h_F45">'Голубинская д.13 к.1'!$D$43</definedName>
    <definedName name="_17h_F46">'Голубинская д.13 к.1'!$D$44</definedName>
    <definedName name="_17h_F47">'Голубинская д.13 к.1'!$D$45</definedName>
    <definedName name="_17h_F48">'Голубинская д.13 к.1'!$D$46</definedName>
    <definedName name="_17h_F49">'Голубинская д.13 к.1'!$D$47</definedName>
    <definedName name="_17h_F50">'Голубинская д.13 к.1'!$D$48</definedName>
    <definedName name="_17h_F51">'Голубинская д.13 к.1'!$D$49</definedName>
    <definedName name="_17h_F52">'Голубинская д.13 к.1'!#REF!</definedName>
    <definedName name="_17h_F53">'Голубинская д.13 к.1'!$D$50</definedName>
    <definedName name="_17h_F54">'Голубинская д.13 к.1'!$D$51</definedName>
    <definedName name="_17h_F55">'Голубинская д.13 к.1'!$D$52</definedName>
    <definedName name="_17h_F56">'Голубинская д.13 к.1'!$D$53</definedName>
    <definedName name="_17h_F57">'Голубинская д.13 к.1'!$D$54</definedName>
    <definedName name="_17h_F58">'Голубинская д.13 к.1'!$D$55</definedName>
    <definedName name="_17h_F59">'Голубинская д.13 к.1'!$D$56</definedName>
    <definedName name="_17h_F60">'Голубинская д.13 к.1'!$D$57</definedName>
    <definedName name="_17h_F61">'Голубинская д.13 к.1'!$D$58</definedName>
    <definedName name="_17h_F62">'Голубинская д.13 к.1'!$D$59</definedName>
    <definedName name="_17h_F63">'Голубинская д.13 к.1'!#REF!</definedName>
    <definedName name="_17h_F64">'Голубинская д.13 к.1'!$D$60</definedName>
    <definedName name="_17h_F65">'Голубинская д.13 к.1'!$D$61</definedName>
    <definedName name="_17h_F7">'Голубинская д.13 к.1'!$D$5</definedName>
    <definedName name="_17h_F8">'Голубинская д.13 к.1'!$D$6</definedName>
    <definedName name="_17h_F9">'Голубинская д.13 к.1'!$D$7</definedName>
    <definedName name="_18h_E10">'Голубинская д.15|10'!$C$8</definedName>
    <definedName name="_18h_E11">'Голубинская д.15|10'!$C$9</definedName>
    <definedName name="_18h_E12">'Голубинская д.15|10'!$C$10</definedName>
    <definedName name="_18h_E13">'Голубинская д.15|10'!$C$11</definedName>
    <definedName name="_18h_E14">'Голубинская д.15|10'!$C$12</definedName>
    <definedName name="_18h_E15">'Голубинская д.15|10'!$C$13</definedName>
    <definedName name="_18h_E16">'Голубинская д.15|10'!$C$14</definedName>
    <definedName name="_18h_E17">'Голубинская д.15|10'!$C$15</definedName>
    <definedName name="_18h_E18">'Голубинская д.15|10'!$C$16</definedName>
    <definedName name="_18h_E19">'Голубинская д.15|10'!$C$17</definedName>
    <definedName name="_18h_E20">'Голубинская д.15|10'!$C$18</definedName>
    <definedName name="_18h_E21">'Голубинская д.15|10'!$C$19</definedName>
    <definedName name="_18h_E22">'Голубинская д.15|10'!$C$20</definedName>
    <definedName name="_18h_E23">'Голубинская д.15|10'!$C$21</definedName>
    <definedName name="_18h_E24">'Голубинская д.15|10'!$C$22</definedName>
    <definedName name="_18h_E25">'Голубинская д.15|10'!$C$23</definedName>
    <definedName name="_18h_E26">'Голубинская д.15|10'!$C$24</definedName>
    <definedName name="_18h_E27">'Голубинская д.15|10'!$C$25</definedName>
    <definedName name="_18h_E28">'Голубинская д.15|10'!$C$26</definedName>
    <definedName name="_18h_E29">'Голубинская д.15|10'!$C$27</definedName>
    <definedName name="_18h_E30">'Голубинская д.15|10'!$C$28</definedName>
    <definedName name="_18h_E31">'Голубинская д.15|10'!$C$29</definedName>
    <definedName name="_18h_E32">'Голубинская д.15|10'!$C$30</definedName>
    <definedName name="_18h_E33">'Голубинская д.15|10'!$C$31</definedName>
    <definedName name="_18h_E34">'Голубинская д.15|10'!$C$32</definedName>
    <definedName name="_18h_E35">'Голубинская д.15|10'!$C$33</definedName>
    <definedName name="_18h_E36">'Голубинская д.15|10'!$C$34</definedName>
    <definedName name="_18h_E37">'Голубинская д.15|10'!$C$35</definedName>
    <definedName name="_18h_E38">'Голубинская д.15|10'!$C$36</definedName>
    <definedName name="_18h_E39">'Голубинская д.15|10'!$C$37</definedName>
    <definedName name="_18h_E40">'Голубинская д.15|10'!$C$38</definedName>
    <definedName name="_18h_E41">'Голубинская д.15|10'!$C$39</definedName>
    <definedName name="_18h_E42">'Голубинская д.15|10'!$C$40</definedName>
    <definedName name="_18h_E43">'Голубинская д.15|10'!$C$41</definedName>
    <definedName name="_18h_E44">'Голубинская д.15|10'!$C$42</definedName>
    <definedName name="_18h_E45">'Голубинская д.15|10'!$C$43</definedName>
    <definedName name="_18h_E46">'Голубинская д.15|10'!$C$44</definedName>
    <definedName name="_18h_E47">'Голубинская д.15|10'!$C$45</definedName>
    <definedName name="_18h_E48">'Голубинская д.15|10'!$C$46</definedName>
    <definedName name="_18h_E49">'Голубинская д.15|10'!$C$47</definedName>
    <definedName name="_18h_E50">'Голубинская д.15|10'!$C$48</definedName>
    <definedName name="_18h_E51">'Голубинская д.15|10'!$C$49</definedName>
    <definedName name="_18h_E52">'Голубинская д.15|10'!#REF!</definedName>
    <definedName name="_18h_E53">'Голубинская д.15|10'!$C$50</definedName>
    <definedName name="_18h_E54">'Голубинская д.15|10'!$C$51</definedName>
    <definedName name="_18h_E55">'Голубинская д.15|10'!$C$52</definedName>
    <definedName name="_18h_E56">'Голубинская д.15|10'!$C$53</definedName>
    <definedName name="_18h_E57">'Голубинская д.15|10'!$C$54</definedName>
    <definedName name="_18h_E58">'Голубинская д.15|10'!$C$55</definedName>
    <definedName name="_18h_E59">'Голубинская д.15|10'!$C$56</definedName>
    <definedName name="_18h_E60">'Голубинская д.15|10'!$C$57</definedName>
    <definedName name="_18h_E61">'Голубинская д.15|10'!$C$58</definedName>
    <definedName name="_18h_E62">'Голубинская д.15|10'!$C$59</definedName>
    <definedName name="_18h_E63">'Голубинская д.15|10'!#REF!</definedName>
    <definedName name="_18h_E64">'Голубинская д.15|10'!$C$60</definedName>
    <definedName name="_18h_E65">'Голубинская д.15|10'!$C$61</definedName>
    <definedName name="_18h_E7">'Голубинская д.15|10'!$C$5</definedName>
    <definedName name="_18h_E8">'Голубинская д.15|10'!$C$6</definedName>
    <definedName name="_18h_E9">'Голубинская д.15|10'!$C$7</definedName>
    <definedName name="_18h_F10">'Голубинская д.15|10'!$D$8</definedName>
    <definedName name="_18h_F11">'Голубинская д.15|10'!$D$9</definedName>
    <definedName name="_18h_F12">'Голубинская д.15|10'!$D$10</definedName>
    <definedName name="_18h_F13">'Голубинская д.15|10'!$D$11</definedName>
    <definedName name="_18h_F14">'Голубинская д.15|10'!$D$12</definedName>
    <definedName name="_18h_F15">'Голубинская д.15|10'!$D$13</definedName>
    <definedName name="_18h_F16">'Голубинская д.15|10'!$D$14</definedName>
    <definedName name="_18h_F17">'Голубинская д.15|10'!$D$15</definedName>
    <definedName name="_18h_F18">'Голубинская д.15|10'!$D$16</definedName>
    <definedName name="_18h_F19">'Голубинская д.15|10'!$D$17</definedName>
    <definedName name="_18h_F20">'Голубинская д.15|10'!$D$18</definedName>
    <definedName name="_18h_F21">'Голубинская д.15|10'!$D$19</definedName>
    <definedName name="_18h_F22">'Голубинская д.15|10'!$D$20</definedName>
    <definedName name="_18h_F23">'Голубинская д.15|10'!$D$21</definedName>
    <definedName name="_18h_F24">'Голубинская д.15|10'!$D$22</definedName>
    <definedName name="_18h_F25">'Голубинская д.15|10'!$D$23</definedName>
    <definedName name="_18h_F26">'Голубинская д.15|10'!$D$24</definedName>
    <definedName name="_18h_F27">'Голубинская д.15|10'!$D$25</definedName>
    <definedName name="_18h_F28">'Голубинская д.15|10'!$D$26</definedName>
    <definedName name="_18h_F29">'Голубинская д.15|10'!$D$27</definedName>
    <definedName name="_18h_F30">'Голубинская д.15|10'!$D$28</definedName>
    <definedName name="_18h_F31">'Голубинская д.15|10'!$D$29</definedName>
    <definedName name="_18h_F32">'Голубинская д.15|10'!$D$30</definedName>
    <definedName name="_18h_F33">'Голубинская д.15|10'!$D$31</definedName>
    <definedName name="_18h_F34">'Голубинская д.15|10'!$D$32</definedName>
    <definedName name="_18h_F35">'Голубинская д.15|10'!$D$33</definedName>
    <definedName name="_18h_F36">'Голубинская д.15|10'!$D$34</definedName>
    <definedName name="_18h_F37">'Голубинская д.15|10'!$D$35</definedName>
    <definedName name="_18h_F38">'Голубинская д.15|10'!$D$36</definedName>
    <definedName name="_18h_F39">'Голубинская д.15|10'!$D$37</definedName>
    <definedName name="_18h_F40">'Голубинская д.15|10'!$D$38</definedName>
    <definedName name="_18h_F41">'Голубинская д.15|10'!$D$39</definedName>
    <definedName name="_18h_F42">'Голубинская д.15|10'!$D$40</definedName>
    <definedName name="_18h_F43">'Голубинская д.15|10'!$D$41</definedName>
    <definedName name="_18h_F44">'Голубинская д.15|10'!$D$42</definedName>
    <definedName name="_18h_F45">'Голубинская д.15|10'!$D$43</definedName>
    <definedName name="_18h_F46">'Голубинская д.15|10'!$D$44</definedName>
    <definedName name="_18h_F47">'Голубинская д.15|10'!$D$45</definedName>
    <definedName name="_18h_F48">'Голубинская д.15|10'!$D$46</definedName>
    <definedName name="_18h_F49">'Голубинская д.15|10'!$D$47</definedName>
    <definedName name="_18h_F50">'Голубинская д.15|10'!$D$48</definedName>
    <definedName name="_18h_F51">'Голубинская д.15|10'!$D$49</definedName>
    <definedName name="_18h_F52">'Голубинская д.15|10'!#REF!</definedName>
    <definedName name="_18h_F53">'Голубинская д.15|10'!$D$50</definedName>
    <definedName name="_18h_F54">'Голубинская д.15|10'!$D$51</definedName>
    <definedName name="_18h_F55">'Голубинская д.15|10'!$D$52</definedName>
    <definedName name="_18h_F56">'Голубинская д.15|10'!$D$53</definedName>
    <definedName name="_18h_F57">'Голубинская д.15|10'!$D$54</definedName>
    <definedName name="_18h_F58">'Голубинская д.15|10'!$D$55</definedName>
    <definedName name="_18h_F59">'Голубинская д.15|10'!$D$56</definedName>
    <definedName name="_18h_F60">'Голубинская д.15|10'!$D$57</definedName>
    <definedName name="_18h_F61">'Голубинская д.15|10'!$D$58</definedName>
    <definedName name="_18h_F62">'Голубинская д.15|10'!$D$59</definedName>
    <definedName name="_18h_F63">'Голубинская д.15|10'!#REF!</definedName>
    <definedName name="_18h_F64">'Голубинская д.15|10'!$D$60</definedName>
    <definedName name="_18h_F65">'Голубинская д.15|10'!$D$61</definedName>
    <definedName name="_18h_F7">'Голубинская д.15|10'!$D$5</definedName>
    <definedName name="_18h_F8">'Голубинская д.15|10'!$D$6</definedName>
    <definedName name="_18h_F9">'Голубинская д.15|10'!$D$7</definedName>
    <definedName name="_19h_E10">'Голубинская д.17|9'!$C$8</definedName>
    <definedName name="_19h_E11">'Голубинская д.17|9'!$C$9</definedName>
    <definedName name="_19h_E12">'Голубинская д.17|9'!$C$10</definedName>
    <definedName name="_19h_E13">'Голубинская д.17|9'!$C$11</definedName>
    <definedName name="_19h_E14">'Голубинская д.17|9'!$C$12</definedName>
    <definedName name="_19h_E15">'Голубинская д.17|9'!$C$13</definedName>
    <definedName name="_19h_E16">'Голубинская д.17|9'!$C$14</definedName>
    <definedName name="_19h_E17">'Голубинская д.17|9'!$C$15</definedName>
    <definedName name="_19h_E18">'Голубинская д.17|9'!$C$16</definedName>
    <definedName name="_19h_E19">'Голубинская д.17|9'!$C$17</definedName>
    <definedName name="_19h_E20">'Голубинская д.17|9'!$C$18</definedName>
    <definedName name="_19h_E21">'Голубинская д.17|9'!$C$19</definedName>
    <definedName name="_19h_E22">'Голубинская д.17|9'!$C$20</definedName>
    <definedName name="_19h_E23">'Голубинская д.17|9'!$C$21</definedName>
    <definedName name="_19h_E24">'Голубинская д.17|9'!$C$22</definedName>
    <definedName name="_19h_E25">'Голубинская д.17|9'!$C$23</definedName>
    <definedName name="_19h_E26">'Голубинская д.17|9'!$C$24</definedName>
    <definedName name="_19h_E27">'Голубинская д.17|9'!$C$25</definedName>
    <definedName name="_19h_E28">'Голубинская д.17|9'!$C$26</definedName>
    <definedName name="_19h_E29">'Голубинская д.17|9'!$C$27</definedName>
    <definedName name="_19h_E30">'Голубинская д.17|9'!$C$28</definedName>
    <definedName name="_19h_E31">'Голубинская д.17|9'!$C$29</definedName>
    <definedName name="_19h_E32">'Голубинская д.17|9'!$C$30</definedName>
    <definedName name="_19h_E33">'Голубинская д.17|9'!$C$31</definedName>
    <definedName name="_19h_E34">'Голубинская д.17|9'!$C$32</definedName>
    <definedName name="_19h_E35">'Голубинская д.17|9'!$C$33</definedName>
    <definedName name="_19h_E36">'Голубинская д.17|9'!$C$34</definedName>
    <definedName name="_19h_E37">'Голубинская д.17|9'!$C$35</definedName>
    <definedName name="_19h_E38">'Голубинская д.17|9'!$C$36</definedName>
    <definedName name="_19h_E39">'Голубинская д.17|9'!$C$37</definedName>
    <definedName name="_19h_E40">'Голубинская д.17|9'!$C$38</definedName>
    <definedName name="_19h_E41">'Голубинская д.17|9'!$C$39</definedName>
    <definedName name="_19h_E42">'Голубинская д.17|9'!$C$40</definedName>
    <definedName name="_19h_E43">'Голубинская д.17|9'!$C$41</definedName>
    <definedName name="_19h_E44">'Голубинская д.17|9'!$C$42</definedName>
    <definedName name="_19h_E45">'Голубинская д.17|9'!$C$43</definedName>
    <definedName name="_19h_E46">'Голубинская д.17|9'!$C$44</definedName>
    <definedName name="_19h_E47">'Голубинская д.17|9'!$C$45</definedName>
    <definedName name="_19h_E48">'Голубинская д.17|9'!$C$46</definedName>
    <definedName name="_19h_E49">'Голубинская д.17|9'!$C$47</definedName>
    <definedName name="_19h_E50">'Голубинская д.17|9'!$C$48</definedName>
    <definedName name="_19h_E51">'Голубинская д.17|9'!$C$49</definedName>
    <definedName name="_19h_E52">'Голубинская д.17|9'!#REF!</definedName>
    <definedName name="_19h_E53">'Голубинская д.17|9'!$C$50</definedName>
    <definedName name="_19h_E54">'Голубинская д.17|9'!$C$51</definedName>
    <definedName name="_19h_E55">'Голубинская д.17|9'!$C$52</definedName>
    <definedName name="_19h_E56">'Голубинская д.17|9'!$C$53</definedName>
    <definedName name="_19h_E57">'Голубинская д.17|9'!$C$54</definedName>
    <definedName name="_19h_E58">'Голубинская д.17|9'!$C$55</definedName>
    <definedName name="_19h_E59">'Голубинская д.17|9'!$C$56</definedName>
    <definedName name="_19h_E60">'Голубинская д.17|9'!$C$57</definedName>
    <definedName name="_19h_E61">'Голубинская д.17|9'!$C$58</definedName>
    <definedName name="_19h_E62">'Голубинская д.17|9'!$C$59</definedName>
    <definedName name="_19h_E63">'Голубинская д.17|9'!#REF!</definedName>
    <definedName name="_19h_E64">'Голубинская д.17|9'!$C$60</definedName>
    <definedName name="_19h_E65">'Голубинская д.17|9'!$C$61</definedName>
    <definedName name="_19h_E7">'Голубинская д.17|9'!$C$5</definedName>
    <definedName name="_19h_E8">'Голубинская д.17|9'!$C$6</definedName>
    <definedName name="_19h_E9">'Голубинская д.17|9'!$C$7</definedName>
    <definedName name="_19h_F10">'Голубинская д.17|9'!$D$8</definedName>
    <definedName name="_19h_F11">'Голубинская д.17|9'!$D$9</definedName>
    <definedName name="_19h_F12">'Голубинская д.17|9'!$D$10</definedName>
    <definedName name="_19h_F13">'Голубинская д.17|9'!$D$11</definedName>
    <definedName name="_19h_F14">'Голубинская д.17|9'!$D$12</definedName>
    <definedName name="_19h_F15">'Голубинская д.17|9'!$D$13</definedName>
    <definedName name="_19h_F16">'Голубинская д.17|9'!$D$14</definedName>
    <definedName name="_19h_F17">'Голубинская д.17|9'!$D$15</definedName>
    <definedName name="_19h_F18">'Голубинская д.17|9'!$D$16</definedName>
    <definedName name="_19h_F19">'Голубинская д.17|9'!$D$17</definedName>
    <definedName name="_19h_F20">'Голубинская д.17|9'!$D$18</definedName>
    <definedName name="_19h_F21">'Голубинская д.17|9'!$D$19</definedName>
    <definedName name="_19h_F22">'Голубинская д.17|9'!$D$20</definedName>
    <definedName name="_19h_F23">'Голубинская д.17|9'!$D$21</definedName>
    <definedName name="_19h_F24">'Голубинская д.17|9'!$D$22</definedName>
    <definedName name="_19h_F25">'Голубинская д.17|9'!$D$23</definedName>
    <definedName name="_19h_F26">'Голубинская д.17|9'!$D$24</definedName>
    <definedName name="_19h_F27">'Голубинская д.17|9'!$D$25</definedName>
    <definedName name="_19h_F28">'Голубинская д.17|9'!$D$26</definedName>
    <definedName name="_19h_F29">'Голубинская д.17|9'!$D$27</definedName>
    <definedName name="_19h_F30">'Голубинская д.17|9'!$D$28</definedName>
    <definedName name="_19h_F31">'Голубинская д.17|9'!$D$29</definedName>
    <definedName name="_19h_F32">'Голубинская д.17|9'!$D$30</definedName>
    <definedName name="_19h_F33">'Голубинская д.17|9'!$D$31</definedName>
    <definedName name="_19h_F34">'Голубинская д.17|9'!$D$32</definedName>
    <definedName name="_19h_F35">'Голубинская д.17|9'!$D$33</definedName>
    <definedName name="_19h_F36">'Голубинская д.17|9'!$D$34</definedName>
    <definedName name="_19h_F37">'Голубинская д.17|9'!$D$35</definedName>
    <definedName name="_19h_F38">'Голубинская д.17|9'!$D$36</definedName>
    <definedName name="_19h_F39">'Голубинская д.17|9'!$D$37</definedName>
    <definedName name="_19h_F40">'Голубинская д.17|9'!$D$38</definedName>
    <definedName name="_19h_F41">'Голубинская д.17|9'!$D$39</definedName>
    <definedName name="_19h_F42">'Голубинская д.17|9'!$D$40</definedName>
    <definedName name="_19h_F43">'Голубинская д.17|9'!$D$41</definedName>
    <definedName name="_19h_F44">'Голубинская д.17|9'!$D$42</definedName>
    <definedName name="_19h_F45">'Голубинская д.17|9'!$D$43</definedName>
    <definedName name="_19h_F46">'Голубинская д.17|9'!$D$44</definedName>
    <definedName name="_19h_F47">'Голубинская д.17|9'!$D$45</definedName>
    <definedName name="_19h_F48">'Голубинская д.17|9'!$D$46</definedName>
    <definedName name="_19h_F49">'Голубинская д.17|9'!$D$47</definedName>
    <definedName name="_19h_F50">'Голубинская д.17|9'!$D$48</definedName>
    <definedName name="_19h_F51">'Голубинская д.17|9'!$D$49</definedName>
    <definedName name="_19h_F52">'Голубинская д.17|9'!#REF!</definedName>
    <definedName name="_19h_F53">'Голубинская д.17|9'!$D$50</definedName>
    <definedName name="_19h_F54">'Голубинская д.17|9'!$D$51</definedName>
    <definedName name="_19h_F55">'Голубинская д.17|9'!$D$52</definedName>
    <definedName name="_19h_F56">'Голубинская д.17|9'!$D$53</definedName>
    <definedName name="_19h_F57">'Голубинская д.17|9'!$D$54</definedName>
    <definedName name="_19h_F58">'Голубинская д.17|9'!$D$55</definedName>
    <definedName name="_19h_F59">'Голубинская д.17|9'!$D$56</definedName>
    <definedName name="_19h_F60">'Голубинская д.17|9'!$D$57</definedName>
    <definedName name="_19h_F61">'Голубинская д.17|9'!$D$58</definedName>
    <definedName name="_19h_F62">'Голубинская д.17|9'!$D$59</definedName>
    <definedName name="_19h_F63">'Голубинская д.17|9'!#REF!</definedName>
    <definedName name="_19h_F64">'Голубинская д.17|9'!$D$60</definedName>
    <definedName name="_19h_F65">'Голубинская д.17|9'!$D$61</definedName>
    <definedName name="_19h_F7">'Голубинская д.17|9'!$D$5</definedName>
    <definedName name="_19h_F8">'Голубинская д.17|9'!$D$6</definedName>
    <definedName name="_19h_F9">'Голубинская д.17|9'!$D$7</definedName>
    <definedName name="_1h_E10">'Айвазовского д.1'!$C$8</definedName>
    <definedName name="_1h_E11">'Айвазовского д.1'!$C$9</definedName>
    <definedName name="_1h_E12">'Айвазовского д.1'!$C$10</definedName>
    <definedName name="_1h_E13">'Айвазовского д.1'!$C$11</definedName>
    <definedName name="_1h_E14">'Айвазовского д.1'!$C$12</definedName>
    <definedName name="_1h_E15">'Айвазовского д.1'!$C$13</definedName>
    <definedName name="_1h_E16">'Айвазовского д.1'!$C$14</definedName>
    <definedName name="_1h_E17">'Айвазовского д.1'!$C$15</definedName>
    <definedName name="_1h_E18">'Айвазовского д.1'!$C$16</definedName>
    <definedName name="_1h_E19">'Айвазовского д.1'!$C$17</definedName>
    <definedName name="_1h_E20">'Айвазовского д.1'!$C$18</definedName>
    <definedName name="_1h_E21">'Айвазовского д.1'!$C$19</definedName>
    <definedName name="_1h_E22">'Айвазовского д.1'!$C$20</definedName>
    <definedName name="_1h_E23">'Айвазовского д.1'!$C$21</definedName>
    <definedName name="_1h_E24">'Айвазовского д.1'!$C$22</definedName>
    <definedName name="_1h_E25">'Айвазовского д.1'!$C$23</definedName>
    <definedName name="_1h_E26">'Айвазовского д.1'!$C$24</definedName>
    <definedName name="_1h_E27">'Айвазовского д.1'!$C$25</definedName>
    <definedName name="_1h_E28">'Айвазовского д.1'!$C$26</definedName>
    <definedName name="_1h_E29">'Айвазовского д.1'!$C$27</definedName>
    <definedName name="_1h_E30">'Айвазовского д.1'!$C$28</definedName>
    <definedName name="_1h_E31">'Айвазовского д.1'!$C$29</definedName>
    <definedName name="_1h_E32">'Айвазовского д.1'!$C$30</definedName>
    <definedName name="_1h_E33">'Айвазовского д.1'!$C$31</definedName>
    <definedName name="_1h_E34">'Айвазовского д.1'!$C$32</definedName>
    <definedName name="_1h_E35">'Айвазовского д.1'!$C$33</definedName>
    <definedName name="_1h_E36">'Айвазовского д.1'!$C$34</definedName>
    <definedName name="_1h_E37">'Айвазовского д.1'!$C$35</definedName>
    <definedName name="_1h_E38">'Айвазовского д.1'!$C$36</definedName>
    <definedName name="_1h_E39">'Айвазовского д.1'!$C$37</definedName>
    <definedName name="_1h_E40">'Айвазовского д.1'!$C$38</definedName>
    <definedName name="_1h_E41">'Айвазовского д.1'!$C$39</definedName>
    <definedName name="_1h_E42">'Айвазовского д.1'!$C$40</definedName>
    <definedName name="_1h_E43">'Айвазовского д.1'!$C$41</definedName>
    <definedName name="_1h_E44">'Айвазовского д.1'!$C$42</definedName>
    <definedName name="_1h_E45">'Айвазовского д.1'!$C$43</definedName>
    <definedName name="_1h_E46">'Айвазовского д.1'!$C$44</definedName>
    <definedName name="_1h_E47">'Айвазовского д.1'!$C$45</definedName>
    <definedName name="_1h_E48">'Айвазовского д.1'!$C$46</definedName>
    <definedName name="_1h_E49">'Айвазовского д.1'!$C$47</definedName>
    <definedName name="_1h_E50">'Айвазовского д.1'!$C$48</definedName>
    <definedName name="_1h_E51">'Айвазовского д.1'!$C$49</definedName>
    <definedName name="_1h_E52">'Айвазовского д.1'!#REF!</definedName>
    <definedName name="_1h_E53">'Айвазовского д.1'!$C$50</definedName>
    <definedName name="_1h_E54">'Айвазовского д.1'!$C$51</definedName>
    <definedName name="_1h_E55">'Айвазовского д.1'!$C$52</definedName>
    <definedName name="_1h_E56">'Айвазовского д.1'!$C$53</definedName>
    <definedName name="_1h_E57">'Айвазовского д.1'!$C$54</definedName>
    <definedName name="_1h_E58">'Айвазовского д.1'!$C$55</definedName>
    <definedName name="_1h_E59">'Айвазовского д.1'!$C$56</definedName>
    <definedName name="_1h_E60">'Айвазовского д.1'!$C$57</definedName>
    <definedName name="_1h_E61">'Айвазовского д.1'!$C$58</definedName>
    <definedName name="_1h_E62">'Айвазовского д.1'!$C$59</definedName>
    <definedName name="_1h_E63">'Айвазовского д.1'!#REF!</definedName>
    <definedName name="_1h_E64">'Айвазовского д.1'!$C$60</definedName>
    <definedName name="_1h_E65">'Айвазовского д.1'!$C$61</definedName>
    <definedName name="_1h_E7">'Айвазовского д.1'!$C$5</definedName>
    <definedName name="_1h_E8">'Айвазовского д.1'!$C$6</definedName>
    <definedName name="_1h_E9">'Айвазовского д.1'!$C$7</definedName>
    <definedName name="_1h_F10">'Айвазовского д.1'!$D$8</definedName>
    <definedName name="_1h_F11">'Айвазовского д.1'!$D$9</definedName>
    <definedName name="_1h_F12">'Айвазовского д.1'!$D$10</definedName>
    <definedName name="_1h_F13">'Айвазовского д.1'!$D$11</definedName>
    <definedName name="_1h_F14">'Айвазовского д.1'!$D$12</definedName>
    <definedName name="_1h_F15">'Айвазовского д.1'!$D$13</definedName>
    <definedName name="_1h_F16">'Айвазовского д.1'!$D$14</definedName>
    <definedName name="_1h_F17">'Айвазовского д.1'!$D$15</definedName>
    <definedName name="_1h_F18">'Айвазовского д.1'!$D$16</definedName>
    <definedName name="_1h_F19">'Айвазовского д.1'!$D$17</definedName>
    <definedName name="_1h_F20">'Айвазовского д.1'!$D$18</definedName>
    <definedName name="_1h_F21">'Айвазовского д.1'!$D$19</definedName>
    <definedName name="_1h_F22">'Айвазовского д.1'!$D$20</definedName>
    <definedName name="_1h_F23">'Айвазовского д.1'!$D$21</definedName>
    <definedName name="_1h_F24">'Айвазовского д.1'!$D$22</definedName>
    <definedName name="_1h_F25">'Айвазовского д.1'!$D$23</definedName>
    <definedName name="_1h_F26">'Айвазовского д.1'!$D$24</definedName>
    <definedName name="_1h_F27">'Айвазовского д.1'!$D$25</definedName>
    <definedName name="_1h_F28">'Айвазовского д.1'!$D$26</definedName>
    <definedName name="_1h_F29">'Айвазовского д.1'!$D$27</definedName>
    <definedName name="_1h_F30">'Айвазовского д.1'!$D$28</definedName>
    <definedName name="_1h_F31">'Айвазовского д.1'!$D$29</definedName>
    <definedName name="_1h_F32">'Айвазовского д.1'!$D$30</definedName>
    <definedName name="_1h_F33">'Айвазовского д.1'!$D$31</definedName>
    <definedName name="_1h_F34">'Айвазовского д.1'!$D$32</definedName>
    <definedName name="_1h_F35">'Айвазовского д.1'!$D$33</definedName>
    <definedName name="_1h_F36">'Айвазовского д.1'!$D$34</definedName>
    <definedName name="_1h_F37">'Айвазовского д.1'!$D$35</definedName>
    <definedName name="_1h_F38">'Айвазовского д.1'!$D$36</definedName>
    <definedName name="_1h_F39">'Айвазовского д.1'!$D$37</definedName>
    <definedName name="_1h_F40">'Айвазовского д.1'!$D$38</definedName>
    <definedName name="_1h_F41">'Айвазовского д.1'!$D$39</definedName>
    <definedName name="_1h_F42">'Айвазовского д.1'!$D$40</definedName>
    <definedName name="_1h_F43">'Айвазовского д.1'!$D$41</definedName>
    <definedName name="_1h_F44">'Айвазовского д.1'!$D$42</definedName>
    <definedName name="_1h_F45">'Айвазовского д.1'!$D$43</definedName>
    <definedName name="_1h_F46">'Айвазовского д.1'!$D$44</definedName>
    <definedName name="_1h_F47">'Айвазовского д.1'!$D$45</definedName>
    <definedName name="_1h_F48">'Айвазовского д.1'!$D$46</definedName>
    <definedName name="_1h_F49">'Айвазовского д.1'!$D$47</definedName>
    <definedName name="_1h_F50">'Айвазовского д.1'!$D$48</definedName>
    <definedName name="_1h_F51">'Айвазовского д.1'!$D$49</definedName>
    <definedName name="_1h_F52">'Айвазовского д.1'!#REF!</definedName>
    <definedName name="_1h_F53">'Айвазовского д.1'!$D$50</definedName>
    <definedName name="_1h_F54">'Айвазовского д.1'!$D$51</definedName>
    <definedName name="_1h_F55">'Айвазовского д.1'!$D$52</definedName>
    <definedName name="_1h_F56">'Айвазовского д.1'!$D$53</definedName>
    <definedName name="_1h_F57">'Айвазовского д.1'!$D$54</definedName>
    <definedName name="_1h_F58">'Айвазовского д.1'!$D$55</definedName>
    <definedName name="_1h_F59">'Айвазовского д.1'!$D$56</definedName>
    <definedName name="_1h_F60">'Айвазовского д.1'!$D$57</definedName>
    <definedName name="_1h_F61">'Айвазовского д.1'!$D$58</definedName>
    <definedName name="_1h_F62">'Айвазовского д.1'!$D$59</definedName>
    <definedName name="_1h_F63">'Айвазовского д.1'!#REF!</definedName>
    <definedName name="_1h_F64">'Айвазовского д.1'!$D$60</definedName>
    <definedName name="_1h_F65">'Айвазовского д.1'!$D$61</definedName>
    <definedName name="_1h_F7">'Айвазовского д.1'!$D$5</definedName>
    <definedName name="_1h_F8">'Айвазовского д.1'!$D$6</definedName>
    <definedName name="_1h_F9">'Айвазовского д.1'!$D$7</definedName>
    <definedName name="_20h_E10">'Голубинская д.19'!$C$8</definedName>
    <definedName name="_20h_E11">'Голубинская д.19'!$C$9</definedName>
    <definedName name="_20h_E12">'Голубинская д.19'!$C$10</definedName>
    <definedName name="_20h_E13">'Голубинская д.19'!$C$11</definedName>
    <definedName name="_20h_E14">'Голубинская д.19'!$C$12</definedName>
    <definedName name="_20h_E15">'Голубинская д.19'!$C$13</definedName>
    <definedName name="_20h_E16">'Голубинская д.19'!$C$14</definedName>
    <definedName name="_20h_E17">'Голубинская д.19'!$C$15</definedName>
    <definedName name="_20h_E18">'Голубинская д.19'!$C$16</definedName>
    <definedName name="_20h_E19">'Голубинская д.19'!$C$17</definedName>
    <definedName name="_20h_E20">'Голубинская д.19'!$C$18</definedName>
    <definedName name="_20h_E21">'Голубинская д.19'!$C$19</definedName>
    <definedName name="_20h_E22">'Голубинская д.19'!$C$20</definedName>
    <definedName name="_20h_E23">'Голубинская д.19'!$C$21</definedName>
    <definedName name="_20h_E24">'Голубинская д.19'!$C$22</definedName>
    <definedName name="_20h_E25">'Голубинская д.19'!$C$23</definedName>
    <definedName name="_20h_E26">'Голубинская д.19'!$C$24</definedName>
    <definedName name="_20h_E27">'Голубинская д.19'!$C$25</definedName>
    <definedName name="_20h_E28">'Голубинская д.19'!$C$26</definedName>
    <definedName name="_20h_E29">'Голубинская д.19'!$C$27</definedName>
    <definedName name="_20h_E30">'Голубинская д.19'!$C$28</definedName>
    <definedName name="_20h_E31">'Голубинская д.19'!$C$29</definedName>
    <definedName name="_20h_E32">'Голубинская д.19'!$C$30</definedName>
    <definedName name="_20h_E33">'Голубинская д.19'!$C$31</definedName>
    <definedName name="_20h_E34">'Голубинская д.19'!$C$32</definedName>
    <definedName name="_20h_E35">'Голубинская д.19'!$C$33</definedName>
    <definedName name="_20h_E36">'Голубинская д.19'!$C$34</definedName>
    <definedName name="_20h_E37">'Голубинская д.19'!$C$35</definedName>
    <definedName name="_20h_E38">'Голубинская д.19'!$C$36</definedName>
    <definedName name="_20h_E39">'Голубинская д.19'!$C$37</definedName>
    <definedName name="_20h_E40">'Голубинская д.19'!$C$38</definedName>
    <definedName name="_20h_E41">'Голубинская д.19'!$C$39</definedName>
    <definedName name="_20h_E42">'Голубинская д.19'!$C$40</definedName>
    <definedName name="_20h_E43">'Голубинская д.19'!$C$41</definedName>
    <definedName name="_20h_E44">'Голубинская д.19'!$C$42</definedName>
    <definedName name="_20h_E45">'Голубинская д.19'!$C$43</definedName>
    <definedName name="_20h_E46">'Голубинская д.19'!$C$44</definedName>
    <definedName name="_20h_E47">'Голубинская д.19'!$C$45</definedName>
    <definedName name="_20h_E48">'Голубинская д.19'!$C$46</definedName>
    <definedName name="_20h_E49">'Голубинская д.19'!$C$47</definedName>
    <definedName name="_20h_E50">'Голубинская д.19'!$C$48</definedName>
    <definedName name="_20h_E51">'Голубинская д.19'!$C$49</definedName>
    <definedName name="_20h_E52">'Голубинская д.19'!#REF!</definedName>
    <definedName name="_20h_E53">'Голубинская д.19'!$C$50</definedName>
    <definedName name="_20h_E54">'Голубинская д.19'!$C$51</definedName>
    <definedName name="_20h_E55">'Голубинская д.19'!$C$52</definedName>
    <definedName name="_20h_E56">'Голубинская д.19'!$C$53</definedName>
    <definedName name="_20h_E57">'Голубинская д.19'!$C$54</definedName>
    <definedName name="_20h_E58">'Голубинская д.19'!$C$55</definedName>
    <definedName name="_20h_E59">'Голубинская д.19'!$C$56</definedName>
    <definedName name="_20h_E60">'Голубинская д.19'!$C$57</definedName>
    <definedName name="_20h_E61">'Голубинская д.19'!$C$58</definedName>
    <definedName name="_20h_E62">'Голубинская д.19'!$C$59</definedName>
    <definedName name="_20h_E63">'Голубинская д.19'!#REF!</definedName>
    <definedName name="_20h_E64">'Голубинская д.19'!$C$60</definedName>
    <definedName name="_20h_E65">'Голубинская д.19'!$C$61</definedName>
    <definedName name="_20h_E7">'Голубинская д.19'!$C$5</definedName>
    <definedName name="_20h_E8">'Голубинская д.19'!$C$6</definedName>
    <definedName name="_20h_E9">'Голубинская д.19'!$C$7</definedName>
    <definedName name="_20h_F10">'Голубинская д.19'!$D$8</definedName>
    <definedName name="_20h_F11">'Голубинская д.19'!$D$9</definedName>
    <definedName name="_20h_F12">'Голубинская д.19'!$D$10</definedName>
    <definedName name="_20h_F13">'Голубинская д.19'!$D$11</definedName>
    <definedName name="_20h_F14">'Голубинская д.19'!$D$12</definedName>
    <definedName name="_20h_F15">'Голубинская д.19'!$D$13</definedName>
    <definedName name="_20h_F16">'Голубинская д.19'!$D$14</definedName>
    <definedName name="_20h_F17">'Голубинская д.19'!$D$15</definedName>
    <definedName name="_20h_F18">'Голубинская д.19'!$D$16</definedName>
    <definedName name="_20h_F19">'Голубинская д.19'!$D$17</definedName>
    <definedName name="_20h_F20">'Голубинская д.19'!$D$18</definedName>
    <definedName name="_20h_F21">'Голубинская д.19'!$D$19</definedName>
    <definedName name="_20h_F22">'Голубинская д.19'!$D$20</definedName>
    <definedName name="_20h_F23">'Голубинская д.19'!$D$21</definedName>
    <definedName name="_20h_F24">'Голубинская д.19'!$D$22</definedName>
    <definedName name="_20h_F25">'Голубинская д.19'!$D$23</definedName>
    <definedName name="_20h_F26">'Голубинская д.19'!$D$24</definedName>
    <definedName name="_20h_F27">'Голубинская д.19'!$D$25</definedName>
    <definedName name="_20h_F28">'Голубинская д.19'!$D$26</definedName>
    <definedName name="_20h_F29">'Голубинская д.19'!$D$27</definedName>
    <definedName name="_20h_F30">'Голубинская д.19'!$D$28</definedName>
    <definedName name="_20h_F31">'Голубинская д.19'!$D$29</definedName>
    <definedName name="_20h_F32">'Голубинская д.19'!$D$30</definedName>
    <definedName name="_20h_F33">'Голубинская д.19'!$D$31</definedName>
    <definedName name="_20h_F34">'Голубинская д.19'!$D$32</definedName>
    <definedName name="_20h_F35">'Голубинская д.19'!$D$33</definedName>
    <definedName name="_20h_F36">'Голубинская д.19'!$D$34</definedName>
    <definedName name="_20h_F37">'Голубинская д.19'!$D$35</definedName>
    <definedName name="_20h_F38">'Голубинская д.19'!$D$36</definedName>
    <definedName name="_20h_F39">'Голубинская д.19'!$D$37</definedName>
    <definedName name="_20h_F40">'Голубинская д.19'!$D$38</definedName>
    <definedName name="_20h_F41">'Голубинская д.19'!$D$39</definedName>
    <definedName name="_20h_F42">'Голубинская д.19'!$D$40</definedName>
    <definedName name="_20h_F43">'Голубинская д.19'!$D$41</definedName>
    <definedName name="_20h_F44">'Голубинская д.19'!$D$42</definedName>
    <definedName name="_20h_F45">'Голубинская д.19'!$D$43</definedName>
    <definedName name="_20h_F46">'Голубинская д.19'!$D$44</definedName>
    <definedName name="_20h_F47">'Голубинская д.19'!$D$45</definedName>
    <definedName name="_20h_F48">'Голубинская д.19'!$D$46</definedName>
    <definedName name="_20h_F49">'Голубинская д.19'!$D$47</definedName>
    <definedName name="_20h_F50">'Голубинская д.19'!$D$48</definedName>
    <definedName name="_20h_F51">'Голубинская д.19'!$D$49</definedName>
    <definedName name="_20h_F52">'Голубинская д.19'!#REF!</definedName>
    <definedName name="_20h_F53">'Голубинская д.19'!$D$50</definedName>
    <definedName name="_20h_F54">'Голубинская д.19'!$D$51</definedName>
    <definedName name="_20h_F55">'Голубинская д.19'!$D$52</definedName>
    <definedName name="_20h_F56">'Голубинская д.19'!$D$53</definedName>
    <definedName name="_20h_F57">'Голубинская д.19'!$D$54</definedName>
    <definedName name="_20h_F58">'Голубинская д.19'!$D$55</definedName>
    <definedName name="_20h_F59">'Голубинская д.19'!$D$56</definedName>
    <definedName name="_20h_F60">'Голубинская д.19'!$D$57</definedName>
    <definedName name="_20h_F61">'Голубинская д.19'!$D$58</definedName>
    <definedName name="_20h_F62">'Голубинская д.19'!$D$59</definedName>
    <definedName name="_20h_F63">'Голубинская д.19'!#REF!</definedName>
    <definedName name="_20h_F64">'Голубинская д.19'!$D$60</definedName>
    <definedName name="_20h_F65">'Голубинская д.19'!$D$61</definedName>
    <definedName name="_20h_F7">'Голубинская д.19'!$D$5</definedName>
    <definedName name="_20h_F8">'Голубинская д.19'!$D$6</definedName>
    <definedName name="_20h_F9">'Голубинская д.19'!$D$7</definedName>
    <definedName name="_21h_E10">'Голубинская д.24 к.1'!$C$8</definedName>
    <definedName name="_21h_E11">'Голубинская д.24 к.1'!$C$9</definedName>
    <definedName name="_21h_E12">'Голубинская д.24 к.1'!$C$10</definedName>
    <definedName name="_21h_E13">'Голубинская д.24 к.1'!$C$11</definedName>
    <definedName name="_21h_E14">'Голубинская д.24 к.1'!$C$12</definedName>
    <definedName name="_21h_E15">'Голубинская д.24 к.1'!$C$13</definedName>
    <definedName name="_21h_E16">'Голубинская д.24 к.1'!$C$14</definedName>
    <definedName name="_21h_E17">'Голубинская д.24 к.1'!$C$15</definedName>
    <definedName name="_21h_E18">'Голубинская д.24 к.1'!$C$16</definedName>
    <definedName name="_21h_E19">'Голубинская д.24 к.1'!$C$17</definedName>
    <definedName name="_21h_E20">'Голубинская д.24 к.1'!$C$18</definedName>
    <definedName name="_21h_E21">'Голубинская д.24 к.1'!$C$19</definedName>
    <definedName name="_21h_E22">'Голубинская д.24 к.1'!$C$20</definedName>
    <definedName name="_21h_E23">'Голубинская д.24 к.1'!$C$21</definedName>
    <definedName name="_21h_E24">'Голубинская д.24 к.1'!$C$22</definedName>
    <definedName name="_21h_E25">'Голубинская д.24 к.1'!$C$23</definedName>
    <definedName name="_21h_E26">'Голубинская д.24 к.1'!$C$24</definedName>
    <definedName name="_21h_E27">'Голубинская д.24 к.1'!$C$25</definedName>
    <definedName name="_21h_E28">'Голубинская д.24 к.1'!$C$26</definedName>
    <definedName name="_21h_E29">'Голубинская д.24 к.1'!$C$27</definedName>
    <definedName name="_21h_E30">'Голубинская д.24 к.1'!$C$28</definedName>
    <definedName name="_21h_E31">'Голубинская д.24 к.1'!$C$29</definedName>
    <definedName name="_21h_E32">'Голубинская д.24 к.1'!$C$30</definedName>
    <definedName name="_21h_E33">'Голубинская д.24 к.1'!$C$31</definedName>
    <definedName name="_21h_E34">'Голубинская д.24 к.1'!$C$32</definedName>
    <definedName name="_21h_E35">'Голубинская д.24 к.1'!$C$33</definedName>
    <definedName name="_21h_E36">'Голубинская д.24 к.1'!$C$34</definedName>
    <definedName name="_21h_E37">'Голубинская д.24 к.1'!$C$35</definedName>
    <definedName name="_21h_E38">'Голубинская д.24 к.1'!$C$36</definedName>
    <definedName name="_21h_E39">'Голубинская д.24 к.1'!$C$37</definedName>
    <definedName name="_21h_E40">'Голубинская д.24 к.1'!$C$38</definedName>
    <definedName name="_21h_E41">'Голубинская д.24 к.1'!$C$39</definedName>
    <definedName name="_21h_E42">'Голубинская д.24 к.1'!$C$40</definedName>
    <definedName name="_21h_E43">'Голубинская д.24 к.1'!$C$41</definedName>
    <definedName name="_21h_E44">'Голубинская д.24 к.1'!$C$42</definedName>
    <definedName name="_21h_E45">'Голубинская д.24 к.1'!$C$43</definedName>
    <definedName name="_21h_E46">'Голубинская д.24 к.1'!$C$44</definedName>
    <definedName name="_21h_E47">'Голубинская д.24 к.1'!$C$45</definedName>
    <definedName name="_21h_E48">'Голубинская д.24 к.1'!$C$46</definedName>
    <definedName name="_21h_E49">'Голубинская д.24 к.1'!$C$47</definedName>
    <definedName name="_21h_E50">'Голубинская д.24 к.1'!$C$48</definedName>
    <definedName name="_21h_E51">'Голубинская д.24 к.1'!$C$49</definedName>
    <definedName name="_21h_E52">'Голубинская д.24 к.1'!#REF!</definedName>
    <definedName name="_21h_E53">'Голубинская д.24 к.1'!$C$50</definedName>
    <definedName name="_21h_E54">'Голубинская д.24 к.1'!$C$51</definedName>
    <definedName name="_21h_E55">'Голубинская д.24 к.1'!$C$52</definedName>
    <definedName name="_21h_E56">'Голубинская д.24 к.1'!$C$53</definedName>
    <definedName name="_21h_E57">'Голубинская д.24 к.1'!$C$54</definedName>
    <definedName name="_21h_E58">'Голубинская д.24 к.1'!$C$55</definedName>
    <definedName name="_21h_E59">'Голубинская д.24 к.1'!$C$56</definedName>
    <definedName name="_21h_E60">'Голубинская д.24 к.1'!$C$57</definedName>
    <definedName name="_21h_E61">'Голубинская д.24 к.1'!$C$58</definedName>
    <definedName name="_21h_E62">'Голубинская д.24 к.1'!$C$59</definedName>
    <definedName name="_21h_E63">'Голубинская д.24 к.1'!#REF!</definedName>
    <definedName name="_21h_E64">'Голубинская д.24 к.1'!$C$60</definedName>
    <definedName name="_21h_E65">'Голубинская д.24 к.1'!$C$61</definedName>
    <definedName name="_21h_E7">'Голубинская д.24 к.1'!$C$5</definedName>
    <definedName name="_21h_E8">'Голубинская д.24 к.1'!$C$6</definedName>
    <definedName name="_21h_E9">'Голубинская д.24 к.1'!$C$7</definedName>
    <definedName name="_21h_F10">'Голубинская д.24 к.1'!$D$8</definedName>
    <definedName name="_21h_F11">'Голубинская д.24 к.1'!$D$9</definedName>
    <definedName name="_21h_F12">'Голубинская д.24 к.1'!$D$10</definedName>
    <definedName name="_21h_F13">'Голубинская д.24 к.1'!$D$11</definedName>
    <definedName name="_21h_F14">'Голубинская д.24 к.1'!$D$12</definedName>
    <definedName name="_21h_F15">'Голубинская д.24 к.1'!$D$13</definedName>
    <definedName name="_21h_F16">'Голубинская д.24 к.1'!$D$14</definedName>
    <definedName name="_21h_F17">'Голубинская д.24 к.1'!$D$15</definedName>
    <definedName name="_21h_F18">'Голубинская д.24 к.1'!$D$16</definedName>
    <definedName name="_21h_F19">'Голубинская д.24 к.1'!$D$17</definedName>
    <definedName name="_21h_F20">'Голубинская д.24 к.1'!$D$18</definedName>
    <definedName name="_21h_F21">'Голубинская д.24 к.1'!$D$19</definedName>
    <definedName name="_21h_F22">'Голубинская д.24 к.1'!$D$20</definedName>
    <definedName name="_21h_F23">'Голубинская д.24 к.1'!$D$21</definedName>
    <definedName name="_21h_F24">'Голубинская д.24 к.1'!$D$22</definedName>
    <definedName name="_21h_F25">'Голубинская д.24 к.1'!$D$23</definedName>
    <definedName name="_21h_F26">'Голубинская д.24 к.1'!$D$24</definedName>
    <definedName name="_21h_F27">'Голубинская д.24 к.1'!$D$25</definedName>
    <definedName name="_21h_F28">'Голубинская д.24 к.1'!$D$26</definedName>
    <definedName name="_21h_F29">'Голубинская д.24 к.1'!$D$27</definedName>
    <definedName name="_21h_F30">'Голубинская д.24 к.1'!$D$28</definedName>
    <definedName name="_21h_F31">'Голубинская д.24 к.1'!$D$29</definedName>
    <definedName name="_21h_F32">'Голубинская д.24 к.1'!$D$30</definedName>
    <definedName name="_21h_F33">'Голубинская д.24 к.1'!$D$31</definedName>
    <definedName name="_21h_F34">'Голубинская д.24 к.1'!$D$32</definedName>
    <definedName name="_21h_F35">'Голубинская д.24 к.1'!$D$33</definedName>
    <definedName name="_21h_F36">'Голубинская д.24 к.1'!$D$34</definedName>
    <definedName name="_21h_F37">'Голубинская д.24 к.1'!$D$35</definedName>
    <definedName name="_21h_F38">'Голубинская д.24 к.1'!$D$36</definedName>
    <definedName name="_21h_F39">'Голубинская д.24 к.1'!$D$37</definedName>
    <definedName name="_21h_F40">'Голубинская д.24 к.1'!$D$38</definedName>
    <definedName name="_21h_F41">'Голубинская д.24 к.1'!$D$39</definedName>
    <definedName name="_21h_F42">'Голубинская д.24 к.1'!$D$40</definedName>
    <definedName name="_21h_F43">'Голубинская д.24 к.1'!$D$41</definedName>
    <definedName name="_21h_F44">'Голубинская д.24 к.1'!$D$42</definedName>
    <definedName name="_21h_F45">'Голубинская д.24 к.1'!$D$43</definedName>
    <definedName name="_21h_F46">'Голубинская д.24 к.1'!$D$44</definedName>
    <definedName name="_21h_F47">'Голубинская д.24 к.1'!$D$45</definedName>
    <definedName name="_21h_F48">'Голубинская д.24 к.1'!$D$46</definedName>
    <definedName name="_21h_F49">'Голубинская д.24 к.1'!$D$47</definedName>
    <definedName name="_21h_F50">'Голубинская д.24 к.1'!$D$48</definedName>
    <definedName name="_21h_F51">'Голубинская д.24 к.1'!$D$49</definedName>
    <definedName name="_21h_F52">'Голубинская д.24 к.1'!#REF!</definedName>
    <definedName name="_21h_F53">'Голубинская д.24 к.1'!$D$50</definedName>
    <definedName name="_21h_F54">'Голубинская д.24 к.1'!$D$51</definedName>
    <definedName name="_21h_F55">'Голубинская д.24 к.1'!$D$52</definedName>
    <definedName name="_21h_F56">'Голубинская д.24 к.1'!$D$53</definedName>
    <definedName name="_21h_F57">'Голубинская д.24 к.1'!$D$54</definedName>
    <definedName name="_21h_F58">'Голубинская д.24 к.1'!$D$55</definedName>
    <definedName name="_21h_F59">'Голубинская д.24 к.1'!$D$56</definedName>
    <definedName name="_21h_F60">'Голубинская д.24 к.1'!$D$57</definedName>
    <definedName name="_21h_F61">'Голубинская д.24 к.1'!$D$58</definedName>
    <definedName name="_21h_F62">'Голубинская д.24 к.1'!$D$59</definedName>
    <definedName name="_21h_F63">'Голубинская д.24 к.1'!#REF!</definedName>
    <definedName name="_21h_F64">'Голубинская д.24 к.1'!$D$60</definedName>
    <definedName name="_21h_F65">'Голубинская д.24 к.1'!$D$61</definedName>
    <definedName name="_21h_F7">'Голубинская д.24 к.1'!$D$5</definedName>
    <definedName name="_21h_F8">'Голубинская д.24 к.1'!$D$6</definedName>
    <definedName name="_21h_F9">'Голубинская д.24 к.1'!$D$7</definedName>
    <definedName name="_22h_E10">'Г~ д.25 к.1 стр.п.1-9,16-17 '!$C$8</definedName>
    <definedName name="_22h_E11">'Г~ д.25 к.1 стр.п.1-9,16-17 '!$C$9</definedName>
    <definedName name="_22h_E12">'Г~ д.25 к.1 стр.п.1-9,16-17 '!$C$10</definedName>
    <definedName name="_22h_E13">'Г~ д.25 к.1 стр.п.1-9,16-17 '!$C$11</definedName>
    <definedName name="_22h_E14">'Г~ д.25 к.1 стр.п.1-9,16-17 '!$C$12</definedName>
    <definedName name="_22h_E15">'Г~ д.25 к.1 стр.п.1-9,16-17 '!$C$13</definedName>
    <definedName name="_22h_E16">'Г~ д.25 к.1 стр.п.1-9,16-17 '!$C$14</definedName>
    <definedName name="_22h_E17">'Г~ д.25 к.1 стр.п.1-9,16-17 '!$C$15</definedName>
    <definedName name="_22h_E18">'Г~ д.25 к.1 стр.п.1-9,16-17 '!$C$16</definedName>
    <definedName name="_22h_E19">'Г~ д.25 к.1 стр.п.1-9,16-17 '!$C$17</definedName>
    <definedName name="_22h_E20">'Г~ д.25 к.1 стр.п.1-9,16-17 '!$C$18</definedName>
    <definedName name="_22h_E21">'Г~ д.25 к.1 стр.п.1-9,16-17 '!$C$19</definedName>
    <definedName name="_22h_E22">'Г~ д.25 к.1 стр.п.1-9,16-17 '!$C$20</definedName>
    <definedName name="_22h_E23">'Г~ д.25 к.1 стр.п.1-9,16-17 '!$C$21</definedName>
    <definedName name="_22h_E24">'Г~ д.25 к.1 стр.п.1-9,16-17 '!$C$22</definedName>
    <definedName name="_22h_E25">'Г~ д.25 к.1 стр.п.1-9,16-17 '!$C$23</definedName>
    <definedName name="_22h_E26">'Г~ д.25 к.1 стр.п.1-9,16-17 '!$C$24</definedName>
    <definedName name="_22h_E27">'Г~ д.25 к.1 стр.п.1-9,16-17 '!$C$25</definedName>
    <definedName name="_22h_E28">'Г~ д.25 к.1 стр.п.1-9,16-17 '!$C$26</definedName>
    <definedName name="_22h_E29">'Г~ д.25 к.1 стр.п.1-9,16-17 '!$C$27</definedName>
    <definedName name="_22h_E30">'Г~ д.25 к.1 стр.п.1-9,16-17 '!$C$28</definedName>
    <definedName name="_22h_E31">'Г~ д.25 к.1 стр.п.1-9,16-17 '!$C$29</definedName>
    <definedName name="_22h_E32">'Г~ д.25 к.1 стр.п.1-9,16-17 '!$C$30</definedName>
    <definedName name="_22h_E33">'Г~ д.25 к.1 стр.п.1-9,16-17 '!$C$31</definedName>
    <definedName name="_22h_E34">'Г~ д.25 к.1 стр.п.1-9,16-17 '!$C$32</definedName>
    <definedName name="_22h_E35">'Г~ д.25 к.1 стр.п.1-9,16-17 '!$C$33</definedName>
    <definedName name="_22h_E36">'Г~ д.25 к.1 стр.п.1-9,16-17 '!$C$34</definedName>
    <definedName name="_22h_E37">'Г~ д.25 к.1 стр.п.1-9,16-17 '!$C$35</definedName>
    <definedName name="_22h_E38">'Г~ д.25 к.1 стр.п.1-9,16-17 '!$C$36</definedName>
    <definedName name="_22h_E39">'Г~ д.25 к.1 стр.п.1-9,16-17 '!$C$37</definedName>
    <definedName name="_22h_E40">'Г~ д.25 к.1 стр.п.1-9,16-17 '!$C$38</definedName>
    <definedName name="_22h_E41">'Г~ д.25 к.1 стр.п.1-9,16-17 '!$C$39</definedName>
    <definedName name="_22h_E42">'Г~ д.25 к.1 стр.п.1-9,16-17 '!$C$40</definedName>
    <definedName name="_22h_E43">'Г~ д.25 к.1 стр.п.1-9,16-17 '!$C$41</definedName>
    <definedName name="_22h_E44">'Г~ д.25 к.1 стр.п.1-9,16-17 '!$C$42</definedName>
    <definedName name="_22h_E45">'Г~ д.25 к.1 стр.п.1-9,16-17 '!$C$43</definedName>
    <definedName name="_22h_E46">'Г~ д.25 к.1 стр.п.1-9,16-17 '!$C$44</definedName>
    <definedName name="_22h_E47">'Г~ д.25 к.1 стр.п.1-9,16-17 '!$C$45</definedName>
    <definedName name="_22h_E48">'Г~ д.25 к.1 стр.п.1-9,16-17 '!$C$46</definedName>
    <definedName name="_22h_E49">'Г~ д.25 к.1 стр.п.1-9,16-17 '!$C$47</definedName>
    <definedName name="_22h_E50">'Г~ д.25 к.1 стр.п.1-9,16-17 '!$C$48</definedName>
    <definedName name="_22h_E51">'Г~ д.25 к.1 стр.п.1-9,16-17 '!$C$49</definedName>
    <definedName name="_22h_E52">'Г~ д.25 к.1 стр.п.1-9,16-17 '!#REF!</definedName>
    <definedName name="_22h_E53">'Г~ д.25 к.1 стр.п.1-9,16-17 '!$C$50</definedName>
    <definedName name="_22h_E54">'Г~ д.25 к.1 стр.п.1-9,16-17 '!$C$51</definedName>
    <definedName name="_22h_E55">'Г~ д.25 к.1 стр.п.1-9,16-17 '!$C$52</definedName>
    <definedName name="_22h_E56">'Г~ д.25 к.1 стр.п.1-9,16-17 '!$C$53</definedName>
    <definedName name="_22h_E57">'Г~ д.25 к.1 стр.п.1-9,16-17 '!$C$54</definedName>
    <definedName name="_22h_E58">'Г~ д.25 к.1 стр.п.1-9,16-17 '!$C$55</definedName>
    <definedName name="_22h_E59">'Г~ д.25 к.1 стр.п.1-9,16-17 '!$C$56</definedName>
    <definedName name="_22h_E60">'Г~ д.25 к.1 стр.п.1-9,16-17 '!$C$57</definedName>
    <definedName name="_22h_E61">'Г~ д.25 к.1 стр.п.1-9,16-17 '!$C$58</definedName>
    <definedName name="_22h_E62">'Г~ д.25 к.1 стр.п.1-9,16-17 '!$C$59</definedName>
    <definedName name="_22h_E63">'Г~ д.25 к.1 стр.п.1-9,16-17 '!#REF!</definedName>
    <definedName name="_22h_E64">'Г~ д.25 к.1 стр.п.1-9,16-17 '!$C$60</definedName>
    <definedName name="_22h_E65">'Г~ д.25 к.1 стр.п.1-9,16-17 '!$C$61</definedName>
    <definedName name="_22h_E7">'Г~ д.25 к.1 стр.п.1-9,16-17 '!$C$5</definedName>
    <definedName name="_22h_E8">'Г~ д.25 к.1 стр.п.1-9,16-17 '!$C$6</definedName>
    <definedName name="_22h_E9">'Г~ д.25 к.1 стр.п.1-9,16-17 '!$C$7</definedName>
    <definedName name="_22h_F10">'Г~ д.25 к.1 стр.п.1-9,16-17 '!$D$8</definedName>
    <definedName name="_22h_F11">'Г~ д.25 к.1 стр.п.1-9,16-17 '!$D$9</definedName>
    <definedName name="_22h_F12">'Г~ д.25 к.1 стр.п.1-9,16-17 '!$D$10</definedName>
    <definedName name="_22h_F13">'Г~ д.25 к.1 стр.п.1-9,16-17 '!$D$11</definedName>
    <definedName name="_22h_F14">'Г~ д.25 к.1 стр.п.1-9,16-17 '!$D$12</definedName>
    <definedName name="_22h_F15">'Г~ д.25 к.1 стр.п.1-9,16-17 '!$D$13</definedName>
    <definedName name="_22h_F16">'Г~ д.25 к.1 стр.п.1-9,16-17 '!$D$14</definedName>
    <definedName name="_22h_F17">'Г~ д.25 к.1 стр.п.1-9,16-17 '!$D$15</definedName>
    <definedName name="_22h_F18">'Г~ д.25 к.1 стр.п.1-9,16-17 '!$D$16</definedName>
    <definedName name="_22h_F19">'Г~ д.25 к.1 стр.п.1-9,16-17 '!$D$17</definedName>
    <definedName name="_22h_F20">'Г~ д.25 к.1 стр.п.1-9,16-17 '!$D$18</definedName>
    <definedName name="_22h_F21">'Г~ д.25 к.1 стр.п.1-9,16-17 '!$D$19</definedName>
    <definedName name="_22h_F22">'Г~ д.25 к.1 стр.п.1-9,16-17 '!$D$20</definedName>
    <definedName name="_22h_F23">'Г~ д.25 к.1 стр.п.1-9,16-17 '!$D$21</definedName>
    <definedName name="_22h_F24">'Г~ д.25 к.1 стр.п.1-9,16-17 '!$D$22</definedName>
    <definedName name="_22h_F25">'Г~ д.25 к.1 стр.п.1-9,16-17 '!$D$23</definedName>
    <definedName name="_22h_F26">'Г~ д.25 к.1 стр.п.1-9,16-17 '!$D$24</definedName>
    <definedName name="_22h_F27">'Г~ д.25 к.1 стр.п.1-9,16-17 '!$D$25</definedName>
    <definedName name="_22h_F28">'Г~ д.25 к.1 стр.п.1-9,16-17 '!$D$26</definedName>
    <definedName name="_22h_F29">'Г~ д.25 к.1 стр.п.1-9,16-17 '!$D$27</definedName>
    <definedName name="_22h_F30">'Г~ д.25 к.1 стр.п.1-9,16-17 '!$D$28</definedName>
    <definedName name="_22h_F31">'Г~ д.25 к.1 стр.п.1-9,16-17 '!$D$29</definedName>
    <definedName name="_22h_F32">'Г~ д.25 к.1 стр.п.1-9,16-17 '!$D$30</definedName>
    <definedName name="_22h_F33">'Г~ д.25 к.1 стр.п.1-9,16-17 '!$D$31</definedName>
    <definedName name="_22h_F34">'Г~ д.25 к.1 стр.п.1-9,16-17 '!$D$32</definedName>
    <definedName name="_22h_F35">'Г~ д.25 к.1 стр.п.1-9,16-17 '!$D$33</definedName>
    <definedName name="_22h_F36">'Г~ д.25 к.1 стр.п.1-9,16-17 '!$D$34</definedName>
    <definedName name="_22h_F37">'Г~ д.25 к.1 стр.п.1-9,16-17 '!$D$35</definedName>
    <definedName name="_22h_F38">'Г~ д.25 к.1 стр.п.1-9,16-17 '!$D$36</definedName>
    <definedName name="_22h_F39">'Г~ д.25 к.1 стр.п.1-9,16-17 '!$D$37</definedName>
    <definedName name="_22h_F40">'Г~ д.25 к.1 стр.п.1-9,16-17 '!$D$38</definedName>
    <definedName name="_22h_F41">'Г~ д.25 к.1 стр.п.1-9,16-17 '!$D$39</definedName>
    <definedName name="_22h_F42">'Г~ д.25 к.1 стр.п.1-9,16-17 '!$D$40</definedName>
    <definedName name="_22h_F43">'Г~ д.25 к.1 стр.п.1-9,16-17 '!$D$41</definedName>
    <definedName name="_22h_F44">'Г~ д.25 к.1 стр.п.1-9,16-17 '!$D$42</definedName>
    <definedName name="_22h_F45">'Г~ д.25 к.1 стр.п.1-9,16-17 '!$D$43</definedName>
    <definedName name="_22h_F46">'Г~ д.25 к.1 стр.п.1-9,16-17 '!$D$44</definedName>
    <definedName name="_22h_F47">'Г~ д.25 к.1 стр.п.1-9,16-17 '!$D$45</definedName>
    <definedName name="_22h_F48">'Г~ д.25 к.1 стр.п.1-9,16-17 '!$D$46</definedName>
    <definedName name="_22h_F49">'Г~ д.25 к.1 стр.п.1-9,16-17 '!$D$47</definedName>
    <definedName name="_22h_F50">'Г~ д.25 к.1 стр.п.1-9,16-17 '!$D$48</definedName>
    <definedName name="_22h_F51">'Г~ д.25 к.1 стр.п.1-9,16-17 '!$D$49</definedName>
    <definedName name="_22h_F52">'Г~ д.25 к.1 стр.п.1-9,16-17 '!#REF!</definedName>
    <definedName name="_22h_F53">'Г~ д.25 к.1 стр.п.1-9,16-17 '!$D$50</definedName>
    <definedName name="_22h_F54">'Г~ д.25 к.1 стр.п.1-9,16-17 '!$D$51</definedName>
    <definedName name="_22h_F55">'Г~ д.25 к.1 стр.п.1-9,16-17 '!$D$52</definedName>
    <definedName name="_22h_F56">'Г~ д.25 к.1 стр.п.1-9,16-17 '!$D$53</definedName>
    <definedName name="_22h_F57">'Г~ д.25 к.1 стр.п.1-9,16-17 '!$D$54</definedName>
    <definedName name="_22h_F58">'Г~ д.25 к.1 стр.п.1-9,16-17 '!$D$55</definedName>
    <definedName name="_22h_F59">'Г~ д.25 к.1 стр.п.1-9,16-17 '!$D$56</definedName>
    <definedName name="_22h_F60">'Г~ д.25 к.1 стр.п.1-9,16-17 '!$D$57</definedName>
    <definedName name="_22h_F61">'Г~ д.25 к.1 стр.п.1-9,16-17 '!$D$58</definedName>
    <definedName name="_22h_F62">'Г~ д.25 к.1 стр.п.1-9,16-17 '!$D$59</definedName>
    <definedName name="_22h_F63">'Г~ д.25 к.1 стр.п.1-9,16-17 '!#REF!</definedName>
    <definedName name="_22h_F64">'Г~ д.25 к.1 стр.п.1-9,16-17 '!$D$60</definedName>
    <definedName name="_22h_F65">'Г~ д.25 к.1 стр.п.1-9,16-17 '!$D$61</definedName>
    <definedName name="_22h_F7">'Г~ д.25 к.1 стр.п.1-9,16-17 '!$D$5</definedName>
    <definedName name="_22h_F8">'Г~ д.25 к.1 стр.п.1-9,16-17 '!$D$6</definedName>
    <definedName name="_22h_F9">'Г~ д.25 к.1 стр.п.1-9,16-17 '!$D$7</definedName>
    <definedName name="_23h_E10">'Г~ д.25 к.2 стр.п.1-6 ЖСК Осень'!$C$8</definedName>
    <definedName name="_23h_E11">'Г~ д.25 к.2 стр.п.1-6 ЖСК Осень'!$C$9</definedName>
    <definedName name="_23h_E12">'Г~ д.25 к.2 стр.п.1-6 ЖСК Осень'!$C$10</definedName>
    <definedName name="_23h_E13">'Г~ д.25 к.2 стр.п.1-6 ЖСК Осень'!$C$11</definedName>
    <definedName name="_23h_E14">'Г~ д.25 к.2 стр.п.1-6 ЖСК Осень'!$C$12</definedName>
    <definedName name="_23h_E15">'Г~ д.25 к.2 стр.п.1-6 ЖСК Осень'!$C$13</definedName>
    <definedName name="_23h_E16">'Г~ д.25 к.2 стр.п.1-6 ЖСК Осень'!$C$14</definedName>
    <definedName name="_23h_E17">'Г~ д.25 к.2 стр.п.1-6 ЖСК Осень'!$C$15</definedName>
    <definedName name="_23h_E18">'Г~ д.25 к.2 стр.п.1-6 ЖСК Осень'!$C$16</definedName>
    <definedName name="_23h_E19">'Г~ д.25 к.2 стр.п.1-6 ЖСК Осень'!$C$17</definedName>
    <definedName name="_23h_E20">'Г~ д.25 к.2 стр.п.1-6 ЖСК Осень'!$C$18</definedName>
    <definedName name="_23h_E21">'Г~ д.25 к.2 стр.п.1-6 ЖСК Осень'!$C$19</definedName>
    <definedName name="_23h_E22">'Г~ д.25 к.2 стр.п.1-6 ЖСК Осень'!$C$20</definedName>
    <definedName name="_23h_E23">'Г~ д.25 к.2 стр.п.1-6 ЖСК Осень'!$C$21</definedName>
    <definedName name="_23h_E24">'Г~ д.25 к.2 стр.п.1-6 ЖСК Осень'!$C$22</definedName>
    <definedName name="_23h_E25">'Г~ д.25 к.2 стр.п.1-6 ЖСК Осень'!$C$23</definedName>
    <definedName name="_23h_E26">'Г~ д.25 к.2 стр.п.1-6 ЖСК Осень'!$C$24</definedName>
    <definedName name="_23h_E27">'Г~ д.25 к.2 стр.п.1-6 ЖСК Осень'!$C$25</definedName>
    <definedName name="_23h_E28">'Г~ д.25 к.2 стр.п.1-6 ЖСК Осень'!$C$26</definedName>
    <definedName name="_23h_E29">'Г~ д.25 к.2 стр.п.1-6 ЖСК Осень'!$C$27</definedName>
    <definedName name="_23h_E30">'Г~ д.25 к.2 стр.п.1-6 ЖСК Осень'!$C$28</definedName>
    <definedName name="_23h_E31">'Г~ д.25 к.2 стр.п.1-6 ЖСК Осень'!$C$29</definedName>
    <definedName name="_23h_E32">'Г~ д.25 к.2 стр.п.1-6 ЖСК Осень'!$C$30</definedName>
    <definedName name="_23h_E33">'Г~ д.25 к.2 стр.п.1-6 ЖСК Осень'!$C$31</definedName>
    <definedName name="_23h_E34">'Г~ д.25 к.2 стр.п.1-6 ЖСК Осень'!$C$32</definedName>
    <definedName name="_23h_E35">'Г~ д.25 к.2 стр.п.1-6 ЖСК Осень'!$C$33</definedName>
    <definedName name="_23h_E36">'Г~ д.25 к.2 стр.п.1-6 ЖСК Осень'!$C$34</definedName>
    <definedName name="_23h_E37">'Г~ д.25 к.2 стр.п.1-6 ЖСК Осень'!$C$35</definedName>
    <definedName name="_23h_E38">'Г~ д.25 к.2 стр.п.1-6 ЖСК Осень'!$C$36</definedName>
    <definedName name="_23h_E39">'Г~ д.25 к.2 стр.п.1-6 ЖСК Осень'!$C$37</definedName>
    <definedName name="_23h_E40">'Г~ д.25 к.2 стр.п.1-6 ЖСК Осень'!$C$38</definedName>
    <definedName name="_23h_E41">'Г~ д.25 к.2 стр.п.1-6 ЖСК Осень'!$C$39</definedName>
    <definedName name="_23h_E42">'Г~ д.25 к.2 стр.п.1-6 ЖСК Осень'!$C$40</definedName>
    <definedName name="_23h_E43">'Г~ д.25 к.2 стр.п.1-6 ЖСК Осень'!$C$41</definedName>
    <definedName name="_23h_E44">'Г~ д.25 к.2 стр.п.1-6 ЖСК Осень'!$C$42</definedName>
    <definedName name="_23h_E45">'Г~ д.25 к.2 стр.п.1-6 ЖСК Осень'!$C$43</definedName>
    <definedName name="_23h_E46">'Г~ д.25 к.2 стр.п.1-6 ЖСК Осень'!$C$44</definedName>
    <definedName name="_23h_E47">'Г~ д.25 к.2 стр.п.1-6 ЖСК Осень'!$C$45</definedName>
    <definedName name="_23h_E48">'Г~ д.25 к.2 стр.п.1-6 ЖСК Осень'!$C$46</definedName>
    <definedName name="_23h_E49">'Г~ д.25 к.2 стр.п.1-6 ЖСК Осень'!$C$47</definedName>
    <definedName name="_23h_E50">'Г~ д.25 к.2 стр.п.1-6 ЖСК Осень'!$C$48</definedName>
    <definedName name="_23h_E51">'Г~ д.25 к.2 стр.п.1-6 ЖСК Осень'!$C$49</definedName>
    <definedName name="_23h_E52">'Г~ д.25 к.2 стр.п.1-6 ЖСК Осень'!#REF!</definedName>
    <definedName name="_23h_E53">'Г~ д.25 к.2 стр.п.1-6 ЖСК Осень'!$C$50</definedName>
    <definedName name="_23h_E54">'Г~ д.25 к.2 стр.п.1-6 ЖСК Осень'!$C$51</definedName>
    <definedName name="_23h_E55">'Г~ д.25 к.2 стр.п.1-6 ЖСК Осень'!$C$52</definedName>
    <definedName name="_23h_E56">'Г~ д.25 к.2 стр.п.1-6 ЖСК Осень'!$C$53</definedName>
    <definedName name="_23h_E57">'Г~ д.25 к.2 стр.п.1-6 ЖСК Осень'!$C$54</definedName>
    <definedName name="_23h_E58">'Г~ д.25 к.2 стр.п.1-6 ЖСК Осень'!$C$55</definedName>
    <definedName name="_23h_E59">'Г~ д.25 к.2 стр.п.1-6 ЖСК Осень'!$C$56</definedName>
    <definedName name="_23h_E60">'Г~ д.25 к.2 стр.п.1-6 ЖСК Осень'!$C$57</definedName>
    <definedName name="_23h_E61">'Г~ д.25 к.2 стр.п.1-6 ЖСК Осень'!$C$58</definedName>
    <definedName name="_23h_E62">'Г~ д.25 к.2 стр.п.1-6 ЖСК Осень'!$C$59</definedName>
    <definedName name="_23h_E63">'Г~ д.25 к.2 стр.п.1-6 ЖСК Осень'!#REF!</definedName>
    <definedName name="_23h_E64">'Г~ д.25 к.2 стр.п.1-6 ЖСК Осень'!$C$60</definedName>
    <definedName name="_23h_E65">'Г~ д.25 к.2 стр.п.1-6 ЖСК Осень'!$C$61</definedName>
    <definedName name="_23h_E7">'Г~ д.25 к.2 стр.п.1-6 ЖСК Осень'!$C$5</definedName>
    <definedName name="_23h_E8">'Г~ д.25 к.2 стр.п.1-6 ЖСК Осень'!$C$6</definedName>
    <definedName name="_23h_E9">'Г~ д.25 к.2 стр.п.1-6 ЖСК Осень'!$C$7</definedName>
    <definedName name="_23h_F10">'Г~ д.25 к.2 стр.п.1-6 ЖСК Осень'!$D$8</definedName>
    <definedName name="_23h_F11">'Г~ д.25 к.2 стр.п.1-6 ЖСК Осень'!$D$9</definedName>
    <definedName name="_23h_F12">'Г~ д.25 к.2 стр.п.1-6 ЖСК Осень'!$D$10</definedName>
    <definedName name="_23h_F13">'Г~ д.25 к.2 стр.п.1-6 ЖСК Осень'!$D$11</definedName>
    <definedName name="_23h_F14">'Г~ д.25 к.2 стр.п.1-6 ЖСК Осень'!$D$12</definedName>
    <definedName name="_23h_F15">'Г~ д.25 к.2 стр.п.1-6 ЖСК Осень'!$D$13</definedName>
    <definedName name="_23h_F16">'Г~ д.25 к.2 стр.п.1-6 ЖСК Осень'!$D$14</definedName>
    <definedName name="_23h_F17">'Г~ д.25 к.2 стр.п.1-6 ЖСК Осень'!$D$15</definedName>
    <definedName name="_23h_F18">'Г~ д.25 к.2 стр.п.1-6 ЖСК Осень'!$D$16</definedName>
    <definedName name="_23h_F19">'Г~ д.25 к.2 стр.п.1-6 ЖСК Осень'!$D$17</definedName>
    <definedName name="_23h_F20">'Г~ д.25 к.2 стр.п.1-6 ЖСК Осень'!$D$18</definedName>
    <definedName name="_23h_F21">'Г~ д.25 к.2 стр.п.1-6 ЖСК Осень'!$D$19</definedName>
    <definedName name="_23h_F22">'Г~ д.25 к.2 стр.п.1-6 ЖСК Осень'!$D$20</definedName>
    <definedName name="_23h_F23">'Г~ д.25 к.2 стр.п.1-6 ЖСК Осень'!$D$21</definedName>
    <definedName name="_23h_F24">'Г~ д.25 к.2 стр.п.1-6 ЖСК Осень'!$D$22</definedName>
    <definedName name="_23h_F25">'Г~ д.25 к.2 стр.п.1-6 ЖСК Осень'!$D$23</definedName>
    <definedName name="_23h_F26">'Г~ д.25 к.2 стр.п.1-6 ЖСК Осень'!$D$24</definedName>
    <definedName name="_23h_F27">'Г~ д.25 к.2 стр.п.1-6 ЖСК Осень'!$D$25</definedName>
    <definedName name="_23h_F28">'Г~ д.25 к.2 стр.п.1-6 ЖСК Осень'!$D$26</definedName>
    <definedName name="_23h_F29">'Г~ д.25 к.2 стр.п.1-6 ЖСК Осень'!$D$27</definedName>
    <definedName name="_23h_F30">'Г~ д.25 к.2 стр.п.1-6 ЖСК Осень'!$D$28</definedName>
    <definedName name="_23h_F31">'Г~ д.25 к.2 стр.п.1-6 ЖСК Осень'!$D$29</definedName>
    <definedName name="_23h_F32">'Г~ д.25 к.2 стр.п.1-6 ЖСК Осень'!$D$30</definedName>
    <definedName name="_23h_F33">'Г~ д.25 к.2 стр.п.1-6 ЖСК Осень'!$D$31</definedName>
    <definedName name="_23h_F34">'Г~ д.25 к.2 стр.п.1-6 ЖСК Осень'!$D$32</definedName>
    <definedName name="_23h_F35">'Г~ д.25 к.2 стр.п.1-6 ЖСК Осень'!$D$33</definedName>
    <definedName name="_23h_F36">'Г~ д.25 к.2 стр.п.1-6 ЖСК Осень'!$D$34</definedName>
    <definedName name="_23h_F37">'Г~ д.25 к.2 стр.п.1-6 ЖСК Осень'!$D$35</definedName>
    <definedName name="_23h_F38">'Г~ д.25 к.2 стр.п.1-6 ЖСК Осень'!$D$36</definedName>
    <definedName name="_23h_F39">'Г~ д.25 к.2 стр.п.1-6 ЖСК Осень'!$D$37</definedName>
    <definedName name="_23h_F40">'Г~ д.25 к.2 стр.п.1-6 ЖСК Осень'!$D$38</definedName>
    <definedName name="_23h_F41">'Г~ д.25 к.2 стр.п.1-6 ЖСК Осень'!$D$39</definedName>
    <definedName name="_23h_F42">'Г~ д.25 к.2 стр.п.1-6 ЖСК Осень'!$D$40</definedName>
    <definedName name="_23h_F43">'Г~ д.25 к.2 стр.п.1-6 ЖСК Осень'!$D$41</definedName>
    <definedName name="_23h_F44">'Г~ д.25 к.2 стр.п.1-6 ЖСК Осень'!$D$42</definedName>
    <definedName name="_23h_F45">'Г~ д.25 к.2 стр.п.1-6 ЖСК Осень'!$D$43</definedName>
    <definedName name="_23h_F46">'Г~ д.25 к.2 стр.п.1-6 ЖСК Осень'!$D$44</definedName>
    <definedName name="_23h_F47">'Г~ д.25 к.2 стр.п.1-6 ЖСК Осень'!$D$45</definedName>
    <definedName name="_23h_F48">'Г~ д.25 к.2 стр.п.1-6 ЖСК Осень'!$D$46</definedName>
    <definedName name="_23h_F49">'Г~ д.25 к.2 стр.п.1-6 ЖСК Осень'!$D$47</definedName>
    <definedName name="_23h_F50">'Г~ д.25 к.2 стр.п.1-6 ЖСК Осень'!$D$48</definedName>
    <definedName name="_23h_F51">'Г~ д.25 к.2 стр.п.1-6 ЖСК Осень'!$D$49</definedName>
    <definedName name="_23h_F52">'Г~ д.25 к.2 стр.п.1-6 ЖСК Осень'!#REF!</definedName>
    <definedName name="_23h_F53">'Г~ д.25 к.2 стр.п.1-6 ЖСК Осень'!$D$50</definedName>
    <definedName name="_23h_F54">'Г~ д.25 к.2 стр.п.1-6 ЖСК Осень'!$D$51</definedName>
    <definedName name="_23h_F55">'Г~ д.25 к.2 стр.п.1-6 ЖСК Осень'!$D$52</definedName>
    <definedName name="_23h_F56">'Г~ д.25 к.2 стр.п.1-6 ЖСК Осень'!$D$53</definedName>
    <definedName name="_23h_F57">'Г~ д.25 к.2 стр.п.1-6 ЖСК Осень'!$D$54</definedName>
    <definedName name="_23h_F58">'Г~ д.25 к.2 стр.п.1-6 ЖСК Осень'!$D$55</definedName>
    <definedName name="_23h_F59">'Г~ д.25 к.2 стр.п.1-6 ЖСК Осень'!$D$56</definedName>
    <definedName name="_23h_F60">'Г~ д.25 к.2 стр.п.1-6 ЖСК Осень'!$D$57</definedName>
    <definedName name="_23h_F61">'Г~ д.25 к.2 стр.п.1-6 ЖСК Осень'!$D$58</definedName>
    <definedName name="_23h_F62">'Г~ д.25 к.2 стр.п.1-6 ЖСК Осень'!$D$59</definedName>
    <definedName name="_23h_F63">'Г~ д.25 к.2 стр.п.1-6 ЖСК Осень'!#REF!</definedName>
    <definedName name="_23h_F64">'Г~ д.25 к.2 стр.п.1-6 ЖСК Осень'!$D$60</definedName>
    <definedName name="_23h_F65">'Г~ д.25 к.2 стр.п.1-6 ЖСК Осень'!$D$61</definedName>
    <definedName name="_23h_F7">'Г~ д.25 к.2 стр.п.1-6 ЖСК Осень'!$D$5</definedName>
    <definedName name="_23h_F8">'Г~ д.25 к.2 стр.п.1-6 ЖСК Осень'!$D$6</definedName>
    <definedName name="_23h_F9">'Г~ д.25 к.2 стр.п.1-6 ЖСК Осень'!$D$7</definedName>
    <definedName name="_24h_E10">'Голубинская д.29 к.1'!$C$8</definedName>
    <definedName name="_24h_E11">'Голубинская д.29 к.1'!$C$9</definedName>
    <definedName name="_24h_E12">'Голубинская д.29 к.1'!$C$10</definedName>
    <definedName name="_24h_E13">'Голубинская д.29 к.1'!$C$11</definedName>
    <definedName name="_24h_E14">'Голубинская д.29 к.1'!$C$12</definedName>
    <definedName name="_24h_E15">'Голубинская д.29 к.1'!$C$13</definedName>
    <definedName name="_24h_E16">'Голубинская д.29 к.1'!$C$14</definedName>
    <definedName name="_24h_E17">'Голубинская д.29 к.1'!$C$15</definedName>
    <definedName name="_24h_E18">'Голубинская д.29 к.1'!$C$16</definedName>
    <definedName name="_24h_E19">'Голубинская д.29 к.1'!$C$17</definedName>
    <definedName name="_24h_E20">'Голубинская д.29 к.1'!$C$18</definedName>
    <definedName name="_24h_E21">'Голубинская д.29 к.1'!$C$19</definedName>
    <definedName name="_24h_E22">'Голубинская д.29 к.1'!$C$20</definedName>
    <definedName name="_24h_E23">'Голубинская д.29 к.1'!$C$21</definedName>
    <definedName name="_24h_E24">'Голубинская д.29 к.1'!$C$22</definedName>
    <definedName name="_24h_E25">'Голубинская д.29 к.1'!$C$23</definedName>
    <definedName name="_24h_E26">'Голубинская д.29 к.1'!$C$24</definedName>
    <definedName name="_24h_E27">'Голубинская д.29 к.1'!$C$25</definedName>
    <definedName name="_24h_E28">'Голубинская д.29 к.1'!$C$26</definedName>
    <definedName name="_24h_E29">'Голубинская д.29 к.1'!$C$27</definedName>
    <definedName name="_24h_E30">'Голубинская д.29 к.1'!$C$28</definedName>
    <definedName name="_24h_E31">'Голубинская д.29 к.1'!$C$29</definedName>
    <definedName name="_24h_E32">'Голубинская д.29 к.1'!$C$30</definedName>
    <definedName name="_24h_E33">'Голубинская д.29 к.1'!$C$31</definedName>
    <definedName name="_24h_E34">'Голубинская д.29 к.1'!$C$32</definedName>
    <definedName name="_24h_E35">'Голубинская д.29 к.1'!$C$33</definedName>
    <definedName name="_24h_E36">'Голубинская д.29 к.1'!$C$34</definedName>
    <definedName name="_24h_E37">'Голубинская д.29 к.1'!$C$35</definedName>
    <definedName name="_24h_E38">'Голубинская д.29 к.1'!$C$36</definedName>
    <definedName name="_24h_E39">'Голубинская д.29 к.1'!$C$37</definedName>
    <definedName name="_24h_E40">'Голубинская д.29 к.1'!$C$38</definedName>
    <definedName name="_24h_E41">'Голубинская д.29 к.1'!$C$39</definedName>
    <definedName name="_24h_E42">'Голубинская д.29 к.1'!$C$40</definedName>
    <definedName name="_24h_E43">'Голубинская д.29 к.1'!$C$41</definedName>
    <definedName name="_24h_E44">'Голубинская д.29 к.1'!$C$42</definedName>
    <definedName name="_24h_E45">'Голубинская д.29 к.1'!$C$43</definedName>
    <definedName name="_24h_E46">'Голубинская д.29 к.1'!$C$44</definedName>
    <definedName name="_24h_E47">'Голубинская д.29 к.1'!$C$45</definedName>
    <definedName name="_24h_E48">'Голубинская д.29 к.1'!$C$46</definedName>
    <definedName name="_24h_E49">'Голубинская д.29 к.1'!$C$47</definedName>
    <definedName name="_24h_E50">'Голубинская д.29 к.1'!$C$48</definedName>
    <definedName name="_24h_E51">'Голубинская д.29 к.1'!$C$49</definedName>
    <definedName name="_24h_E52">'Голубинская д.29 к.1'!#REF!</definedName>
    <definedName name="_24h_E53">'Голубинская д.29 к.1'!$C$50</definedName>
    <definedName name="_24h_E54">'Голубинская д.29 к.1'!$C$51</definedName>
    <definedName name="_24h_E55">'Голубинская д.29 к.1'!$C$52</definedName>
    <definedName name="_24h_E56">'Голубинская д.29 к.1'!$C$53</definedName>
    <definedName name="_24h_E57">'Голубинская д.29 к.1'!$C$54</definedName>
    <definedName name="_24h_E58">'Голубинская д.29 к.1'!$C$55</definedName>
    <definedName name="_24h_E59">'Голубинская д.29 к.1'!$C$56</definedName>
    <definedName name="_24h_E60">'Голубинская д.29 к.1'!$C$57</definedName>
    <definedName name="_24h_E61">'Голубинская д.29 к.1'!$C$58</definedName>
    <definedName name="_24h_E62">'Голубинская д.29 к.1'!$C$59</definedName>
    <definedName name="_24h_E63">'Голубинская д.29 к.1'!#REF!</definedName>
    <definedName name="_24h_E64">'Голубинская д.29 к.1'!$C$60</definedName>
    <definedName name="_24h_E65">'Голубинская д.29 к.1'!$C$61</definedName>
    <definedName name="_24h_E7">'Голубинская д.29 к.1'!$C$5</definedName>
    <definedName name="_24h_E8">'Голубинская д.29 к.1'!$C$6</definedName>
    <definedName name="_24h_E9">'Голубинская д.29 к.1'!$C$7</definedName>
    <definedName name="_24h_F10">'Голубинская д.29 к.1'!$D$8</definedName>
    <definedName name="_24h_F11">'Голубинская д.29 к.1'!$D$9</definedName>
    <definedName name="_24h_F12">'Голубинская д.29 к.1'!$D$10</definedName>
    <definedName name="_24h_F13">'Голубинская д.29 к.1'!$D$11</definedName>
    <definedName name="_24h_F14">'Голубинская д.29 к.1'!$D$12</definedName>
    <definedName name="_24h_F15">'Голубинская д.29 к.1'!$D$13</definedName>
    <definedName name="_24h_F16">'Голубинская д.29 к.1'!$D$14</definedName>
    <definedName name="_24h_F17">'Голубинская д.29 к.1'!$D$15</definedName>
    <definedName name="_24h_F18">'Голубинская д.29 к.1'!$D$16</definedName>
    <definedName name="_24h_F19">'Голубинская д.29 к.1'!$D$17</definedName>
    <definedName name="_24h_F20">'Голубинская д.29 к.1'!$D$18</definedName>
    <definedName name="_24h_F21">'Голубинская д.29 к.1'!$D$19</definedName>
    <definedName name="_24h_F22">'Голубинская д.29 к.1'!$D$20</definedName>
    <definedName name="_24h_F23">'Голубинская д.29 к.1'!$D$21</definedName>
    <definedName name="_24h_F24">'Голубинская д.29 к.1'!$D$22</definedName>
    <definedName name="_24h_F25">'Голубинская д.29 к.1'!$D$23</definedName>
    <definedName name="_24h_F26">'Голубинская д.29 к.1'!$D$24</definedName>
    <definedName name="_24h_F27">'Голубинская д.29 к.1'!$D$25</definedName>
    <definedName name="_24h_F28">'Голубинская д.29 к.1'!$D$26</definedName>
    <definedName name="_24h_F29">'Голубинская д.29 к.1'!$D$27</definedName>
    <definedName name="_24h_F30">'Голубинская д.29 к.1'!$D$28</definedName>
    <definedName name="_24h_F31">'Голубинская д.29 к.1'!$D$29</definedName>
    <definedName name="_24h_F32">'Голубинская д.29 к.1'!$D$30</definedName>
    <definedName name="_24h_F33">'Голубинская д.29 к.1'!$D$31</definedName>
    <definedName name="_24h_F34">'Голубинская д.29 к.1'!$D$32</definedName>
    <definedName name="_24h_F35">'Голубинская д.29 к.1'!$D$33</definedName>
    <definedName name="_24h_F36">'Голубинская д.29 к.1'!$D$34</definedName>
    <definedName name="_24h_F37">'Голубинская д.29 к.1'!$D$35</definedName>
    <definedName name="_24h_F38">'Голубинская д.29 к.1'!$D$36</definedName>
    <definedName name="_24h_F39">'Голубинская д.29 к.1'!$D$37</definedName>
    <definedName name="_24h_F40">'Голубинская д.29 к.1'!$D$38</definedName>
    <definedName name="_24h_F41">'Голубинская д.29 к.1'!$D$39</definedName>
    <definedName name="_24h_F42">'Голубинская д.29 к.1'!$D$40</definedName>
    <definedName name="_24h_F43">'Голубинская д.29 к.1'!$D$41</definedName>
    <definedName name="_24h_F44">'Голубинская д.29 к.1'!$D$42</definedName>
    <definedName name="_24h_F45">'Голубинская д.29 к.1'!$D$43</definedName>
    <definedName name="_24h_F46">'Голубинская д.29 к.1'!$D$44</definedName>
    <definedName name="_24h_F47">'Голубинская д.29 к.1'!$D$45</definedName>
    <definedName name="_24h_F48">'Голубинская д.29 к.1'!$D$46</definedName>
    <definedName name="_24h_F49">'Голубинская д.29 к.1'!$D$47</definedName>
    <definedName name="_24h_F50">'Голубинская д.29 к.1'!$D$48</definedName>
    <definedName name="_24h_F51">'Голубинская д.29 к.1'!$D$49</definedName>
    <definedName name="_24h_F52">'Голубинская д.29 к.1'!#REF!</definedName>
    <definedName name="_24h_F53">'Голубинская д.29 к.1'!$D$50</definedName>
    <definedName name="_24h_F54">'Голубинская д.29 к.1'!$D$51</definedName>
    <definedName name="_24h_F55">'Голубинская д.29 к.1'!$D$52</definedName>
    <definedName name="_24h_F56">'Голубинская д.29 к.1'!$D$53</definedName>
    <definedName name="_24h_F57">'Голубинская д.29 к.1'!$D$54</definedName>
    <definedName name="_24h_F58">'Голубинская д.29 к.1'!$D$55</definedName>
    <definedName name="_24h_F59">'Голубинская д.29 к.1'!$D$56</definedName>
    <definedName name="_24h_F60">'Голубинская д.29 к.1'!$D$57</definedName>
    <definedName name="_24h_F61">'Голубинская д.29 к.1'!$D$58</definedName>
    <definedName name="_24h_F62">'Голубинская д.29 к.1'!$D$59</definedName>
    <definedName name="_24h_F63">'Голубинская д.29 к.1'!#REF!</definedName>
    <definedName name="_24h_F64">'Голубинская д.29 к.1'!$D$60</definedName>
    <definedName name="_24h_F65">'Голубинская д.29 к.1'!$D$61</definedName>
    <definedName name="_24h_F7">'Голубинская д.29 к.1'!$D$5</definedName>
    <definedName name="_24h_F8">'Голубинская д.29 к.1'!$D$6</definedName>
    <definedName name="_24h_F9">'Голубинская д.29 к.1'!$D$7</definedName>
    <definedName name="_25h_E10">'Голубинская д.29 к.2'!$C$8</definedName>
    <definedName name="_25h_E11">'Голубинская д.29 к.2'!$C$9</definedName>
    <definedName name="_25h_E12">'Голубинская д.29 к.2'!$C$10</definedName>
    <definedName name="_25h_E13">'Голубинская д.29 к.2'!$C$11</definedName>
    <definedName name="_25h_E14">'Голубинская д.29 к.2'!$C$12</definedName>
    <definedName name="_25h_E15">'Голубинская д.29 к.2'!$C$13</definedName>
    <definedName name="_25h_E16">'Голубинская д.29 к.2'!$C$14</definedName>
    <definedName name="_25h_E17">'Голубинская д.29 к.2'!$C$15</definedName>
    <definedName name="_25h_E18">'Голубинская д.29 к.2'!$C$16</definedName>
    <definedName name="_25h_E19">'Голубинская д.29 к.2'!$C$17</definedName>
    <definedName name="_25h_E20">'Голубинская д.29 к.2'!$C$18</definedName>
    <definedName name="_25h_E21">'Голубинская д.29 к.2'!$C$19</definedName>
    <definedName name="_25h_E22">'Голубинская д.29 к.2'!$C$20</definedName>
    <definedName name="_25h_E23">'Голубинская д.29 к.2'!$C$21</definedName>
    <definedName name="_25h_E24">'Голубинская д.29 к.2'!$C$22</definedName>
    <definedName name="_25h_E25">'Голубинская д.29 к.2'!$C$23</definedName>
    <definedName name="_25h_E26">'Голубинская д.29 к.2'!$C$24</definedName>
    <definedName name="_25h_E27">'Голубинская д.29 к.2'!$C$25</definedName>
    <definedName name="_25h_E28">'Голубинская д.29 к.2'!$C$26</definedName>
    <definedName name="_25h_E29">'Голубинская д.29 к.2'!$C$27</definedName>
    <definedName name="_25h_E30">'Голубинская д.29 к.2'!$C$28</definedName>
    <definedName name="_25h_E31">'Голубинская д.29 к.2'!$C$29</definedName>
    <definedName name="_25h_E32">'Голубинская д.29 к.2'!$C$30</definedName>
    <definedName name="_25h_E33">'Голубинская д.29 к.2'!$C$31</definedName>
    <definedName name="_25h_E34">'Голубинская д.29 к.2'!$C$32</definedName>
    <definedName name="_25h_E35">'Голубинская д.29 к.2'!$C$33</definedName>
    <definedName name="_25h_E36">'Голубинская д.29 к.2'!$C$34</definedName>
    <definedName name="_25h_E37">'Голубинская д.29 к.2'!$C$35</definedName>
    <definedName name="_25h_E38">'Голубинская д.29 к.2'!$C$36</definedName>
    <definedName name="_25h_E39">'Голубинская д.29 к.2'!$C$37</definedName>
    <definedName name="_25h_E40">'Голубинская д.29 к.2'!$C$38</definedName>
    <definedName name="_25h_E41">'Голубинская д.29 к.2'!$C$39</definedName>
    <definedName name="_25h_E42">'Голубинская д.29 к.2'!$C$40</definedName>
    <definedName name="_25h_E43">'Голубинская д.29 к.2'!$C$41</definedName>
    <definedName name="_25h_E44">'Голубинская д.29 к.2'!$C$42</definedName>
    <definedName name="_25h_E45">'Голубинская д.29 к.2'!$C$43</definedName>
    <definedName name="_25h_E46">'Голубинская д.29 к.2'!$C$44</definedName>
    <definedName name="_25h_E47">'Голубинская д.29 к.2'!$C$45</definedName>
    <definedName name="_25h_E48">'Голубинская д.29 к.2'!$C$46</definedName>
    <definedName name="_25h_E49">'Голубинская д.29 к.2'!$C$47</definedName>
    <definedName name="_25h_E50">'Голубинская д.29 к.2'!$C$48</definedName>
    <definedName name="_25h_E51">'Голубинская д.29 к.2'!$C$49</definedName>
    <definedName name="_25h_E52">'Голубинская д.29 к.2'!#REF!</definedName>
    <definedName name="_25h_E53">'Голубинская д.29 к.2'!$C$50</definedName>
    <definedName name="_25h_E54">'Голубинская д.29 к.2'!$C$51</definedName>
    <definedName name="_25h_E55">'Голубинская д.29 к.2'!$C$52</definedName>
    <definedName name="_25h_E56">'Голубинская д.29 к.2'!$C$53</definedName>
    <definedName name="_25h_E57">'Голубинская д.29 к.2'!$C$54</definedName>
    <definedName name="_25h_E58">'Голубинская д.29 к.2'!$C$55</definedName>
    <definedName name="_25h_E59">'Голубинская д.29 к.2'!$C$56</definedName>
    <definedName name="_25h_E60">'Голубинская д.29 к.2'!$C$57</definedName>
    <definedName name="_25h_E61">'Голубинская д.29 к.2'!$C$58</definedName>
    <definedName name="_25h_E62">'Голубинская д.29 к.2'!$C$59</definedName>
    <definedName name="_25h_E63">'Голубинская д.29 к.2'!#REF!</definedName>
    <definedName name="_25h_E64">'Голубинская д.29 к.2'!$C$60</definedName>
    <definedName name="_25h_E65">'Голубинская д.29 к.2'!$C$61</definedName>
    <definedName name="_25h_E7">'Голубинская д.29 к.2'!$C$5</definedName>
    <definedName name="_25h_E8">'Голубинская д.29 к.2'!$C$6</definedName>
    <definedName name="_25h_E9">'Голубинская д.29 к.2'!$C$7</definedName>
    <definedName name="_25h_F10">'Голубинская д.29 к.2'!$D$8</definedName>
    <definedName name="_25h_F11">'Голубинская д.29 к.2'!$D$9</definedName>
    <definedName name="_25h_F12">'Голубинская д.29 к.2'!$D$10</definedName>
    <definedName name="_25h_F13">'Голубинская д.29 к.2'!$D$11</definedName>
    <definedName name="_25h_F14">'Голубинская д.29 к.2'!$D$12</definedName>
    <definedName name="_25h_F15">'Голубинская д.29 к.2'!$D$13</definedName>
    <definedName name="_25h_F16">'Голубинская д.29 к.2'!$D$14</definedName>
    <definedName name="_25h_F17">'Голубинская д.29 к.2'!$D$15</definedName>
    <definedName name="_25h_F18">'Голубинская д.29 к.2'!$D$16</definedName>
    <definedName name="_25h_F19">'Голубинская д.29 к.2'!$D$17</definedName>
    <definedName name="_25h_F20">'Голубинская д.29 к.2'!$D$18</definedName>
    <definedName name="_25h_F21">'Голубинская д.29 к.2'!$D$19</definedName>
    <definedName name="_25h_F22">'Голубинская д.29 к.2'!$D$20</definedName>
    <definedName name="_25h_F23">'Голубинская д.29 к.2'!$D$21</definedName>
    <definedName name="_25h_F24">'Голубинская д.29 к.2'!$D$22</definedName>
    <definedName name="_25h_F25">'Голубинская д.29 к.2'!$D$23</definedName>
    <definedName name="_25h_F26">'Голубинская д.29 к.2'!$D$24</definedName>
    <definedName name="_25h_F27">'Голубинская д.29 к.2'!$D$25</definedName>
    <definedName name="_25h_F28">'Голубинская д.29 к.2'!$D$26</definedName>
    <definedName name="_25h_F29">'Голубинская д.29 к.2'!$D$27</definedName>
    <definedName name="_25h_F30">'Голубинская д.29 к.2'!$D$28</definedName>
    <definedName name="_25h_F31">'Голубинская д.29 к.2'!$D$29</definedName>
    <definedName name="_25h_F32">'Голубинская д.29 к.2'!$D$30</definedName>
    <definedName name="_25h_F33">'Голубинская д.29 к.2'!$D$31</definedName>
    <definedName name="_25h_F34">'Голубинская д.29 к.2'!$D$32</definedName>
    <definedName name="_25h_F35">'Голубинская д.29 к.2'!$D$33</definedName>
    <definedName name="_25h_F36">'Голубинская д.29 к.2'!$D$34</definedName>
    <definedName name="_25h_F37">'Голубинская д.29 к.2'!$D$35</definedName>
    <definedName name="_25h_F38">'Голубинская д.29 к.2'!$D$36</definedName>
    <definedName name="_25h_F39">'Голубинская д.29 к.2'!$D$37</definedName>
    <definedName name="_25h_F40">'Голубинская д.29 к.2'!$D$38</definedName>
    <definedName name="_25h_F41">'Голубинская д.29 к.2'!$D$39</definedName>
    <definedName name="_25h_F42">'Голубинская д.29 к.2'!$D$40</definedName>
    <definedName name="_25h_F43">'Голубинская д.29 к.2'!$D$41</definedName>
    <definedName name="_25h_F44">'Голубинская д.29 к.2'!$D$42</definedName>
    <definedName name="_25h_F45">'Голубинская д.29 к.2'!$D$43</definedName>
    <definedName name="_25h_F46">'Голубинская д.29 к.2'!$D$44</definedName>
    <definedName name="_25h_F47">'Голубинская д.29 к.2'!$D$45</definedName>
    <definedName name="_25h_F48">'Голубинская д.29 к.2'!$D$46</definedName>
    <definedName name="_25h_F49">'Голубинская д.29 к.2'!$D$47</definedName>
    <definedName name="_25h_F50">'Голубинская д.29 к.2'!$D$48</definedName>
    <definedName name="_25h_F51">'Голубинская д.29 к.2'!$D$49</definedName>
    <definedName name="_25h_F52">'Голубинская д.29 к.2'!#REF!</definedName>
    <definedName name="_25h_F53">'Голубинская д.29 к.2'!$D$50</definedName>
    <definedName name="_25h_F54">'Голубинская д.29 к.2'!$D$51</definedName>
    <definedName name="_25h_F55">'Голубинская д.29 к.2'!$D$52</definedName>
    <definedName name="_25h_F56">'Голубинская д.29 к.2'!$D$53</definedName>
    <definedName name="_25h_F57">'Голубинская д.29 к.2'!$D$54</definedName>
    <definedName name="_25h_F58">'Голубинская д.29 к.2'!$D$55</definedName>
    <definedName name="_25h_F59">'Голубинская д.29 к.2'!$D$56</definedName>
    <definedName name="_25h_F60">'Голубинская д.29 к.2'!$D$57</definedName>
    <definedName name="_25h_F61">'Голубинская д.29 к.2'!$D$58</definedName>
    <definedName name="_25h_F62">'Голубинская д.29 к.2'!$D$59</definedName>
    <definedName name="_25h_F63">'Голубинская д.29 к.2'!#REF!</definedName>
    <definedName name="_25h_F64">'Голубинская д.29 к.2'!$D$60</definedName>
    <definedName name="_25h_F65">'Голубинская д.29 к.2'!$D$61</definedName>
    <definedName name="_25h_F7">'Голубинская д.29 к.2'!$D$5</definedName>
    <definedName name="_25h_F8">'Голубинская д.29 к.2'!$D$6</definedName>
    <definedName name="_25h_F9">'Голубинская д.29 к.2'!$D$7</definedName>
    <definedName name="_26h_E10">'Голубинская д.32|2'!$C$8</definedName>
    <definedName name="_26h_E11">'Голубинская д.32|2'!$C$9</definedName>
    <definedName name="_26h_E12">'Голубинская д.32|2'!$C$10</definedName>
    <definedName name="_26h_E13">'Голубинская д.32|2'!$C$11</definedName>
    <definedName name="_26h_E14">'Голубинская д.32|2'!$C$12</definedName>
    <definedName name="_26h_E15">'Голубинская д.32|2'!$C$13</definedName>
    <definedName name="_26h_E16">'Голубинская д.32|2'!$C$14</definedName>
    <definedName name="_26h_E17">'Голубинская д.32|2'!$C$15</definedName>
    <definedName name="_26h_E18">'Голубинская д.32|2'!$C$16</definedName>
    <definedName name="_26h_E19">'Голубинская д.32|2'!$C$17</definedName>
    <definedName name="_26h_E20">'Голубинская д.32|2'!$C$18</definedName>
    <definedName name="_26h_E21">'Голубинская д.32|2'!$C$19</definedName>
    <definedName name="_26h_E22">'Голубинская д.32|2'!$C$20</definedName>
    <definedName name="_26h_E23">'Голубинская д.32|2'!$C$21</definedName>
    <definedName name="_26h_E24">'Голубинская д.32|2'!$C$22</definedName>
    <definedName name="_26h_E25">'Голубинская д.32|2'!$C$23</definedName>
    <definedName name="_26h_E26">'Голубинская д.32|2'!$C$24</definedName>
    <definedName name="_26h_E27">'Голубинская д.32|2'!$C$25</definedName>
    <definedName name="_26h_E28">'Голубинская д.32|2'!$C$26</definedName>
    <definedName name="_26h_E29">'Голубинская д.32|2'!$C$27</definedName>
    <definedName name="_26h_E30">'Голубинская д.32|2'!$C$28</definedName>
    <definedName name="_26h_E31">'Голубинская д.32|2'!$C$29</definedName>
    <definedName name="_26h_E32">'Голубинская д.32|2'!$C$30</definedName>
    <definedName name="_26h_E33">'Голубинская д.32|2'!$C$31</definedName>
    <definedName name="_26h_E34">'Голубинская д.32|2'!$C$32</definedName>
    <definedName name="_26h_E35">'Голубинская д.32|2'!$C$33</definedName>
    <definedName name="_26h_E36">'Голубинская д.32|2'!$C$34</definedName>
    <definedName name="_26h_E37">'Голубинская д.32|2'!$C$35</definedName>
    <definedName name="_26h_E38">'Голубинская д.32|2'!$C$36</definedName>
    <definedName name="_26h_E39">'Голубинская д.32|2'!$C$37</definedName>
    <definedName name="_26h_E40">'Голубинская д.32|2'!$C$38</definedName>
    <definedName name="_26h_E41">'Голубинская д.32|2'!$C$39</definedName>
    <definedName name="_26h_E42">'Голубинская д.32|2'!$C$40</definedName>
    <definedName name="_26h_E43">'Голубинская д.32|2'!$C$41</definedName>
    <definedName name="_26h_E44">'Голубинская д.32|2'!$C$42</definedName>
    <definedName name="_26h_E45">'Голубинская д.32|2'!$C$43</definedName>
    <definedName name="_26h_E46">'Голубинская д.32|2'!$C$44</definedName>
    <definedName name="_26h_E47">'Голубинская д.32|2'!$C$45</definedName>
    <definedName name="_26h_E48">'Голубинская д.32|2'!$C$46</definedName>
    <definedName name="_26h_E49">'Голубинская д.32|2'!$C$47</definedName>
    <definedName name="_26h_E50">'Голубинская д.32|2'!$C$48</definedName>
    <definedName name="_26h_E51">'Голубинская д.32|2'!$C$49</definedName>
    <definedName name="_26h_E52">'Голубинская д.32|2'!#REF!</definedName>
    <definedName name="_26h_E53">'Голубинская д.32|2'!$C$50</definedName>
    <definedName name="_26h_E54">'Голубинская д.32|2'!$C$51</definedName>
    <definedName name="_26h_E55">'Голубинская д.32|2'!$C$52</definedName>
    <definedName name="_26h_E56">'Голубинская д.32|2'!$C$53</definedName>
    <definedName name="_26h_E57">'Голубинская д.32|2'!$C$54</definedName>
    <definedName name="_26h_E58">'Голубинская д.32|2'!$C$55</definedName>
    <definedName name="_26h_E59">'Голубинская д.32|2'!$C$56</definedName>
    <definedName name="_26h_E60">'Голубинская д.32|2'!$C$57</definedName>
    <definedName name="_26h_E61">'Голубинская д.32|2'!$C$58</definedName>
    <definedName name="_26h_E62">'Голубинская д.32|2'!$C$59</definedName>
    <definedName name="_26h_E63">'Голубинская д.32|2'!#REF!</definedName>
    <definedName name="_26h_E64">'Голубинская д.32|2'!$C$60</definedName>
    <definedName name="_26h_E65">'Голубинская д.32|2'!$C$61</definedName>
    <definedName name="_26h_E7">'Голубинская д.32|2'!$C$5</definedName>
    <definedName name="_26h_E8">'Голубинская д.32|2'!$C$6</definedName>
    <definedName name="_26h_E9">'Голубинская д.32|2'!$C$7</definedName>
    <definedName name="_26h_F10">'Голубинская д.32|2'!$D$8</definedName>
    <definedName name="_26h_F11">'Голубинская д.32|2'!$D$9</definedName>
    <definedName name="_26h_F12">'Голубинская д.32|2'!$D$10</definedName>
    <definedName name="_26h_F13">'Голубинская д.32|2'!$D$11</definedName>
    <definedName name="_26h_F14">'Голубинская д.32|2'!$D$12</definedName>
    <definedName name="_26h_F15">'Голубинская д.32|2'!$D$13</definedName>
    <definedName name="_26h_F16">'Голубинская д.32|2'!$D$14</definedName>
    <definedName name="_26h_F17">'Голубинская д.32|2'!$D$15</definedName>
    <definedName name="_26h_F18">'Голубинская д.32|2'!$D$16</definedName>
    <definedName name="_26h_F19">'Голубинская д.32|2'!$D$17</definedName>
    <definedName name="_26h_F20">'Голубинская д.32|2'!$D$18</definedName>
    <definedName name="_26h_F21">'Голубинская д.32|2'!$D$19</definedName>
    <definedName name="_26h_F22">'Голубинская д.32|2'!$D$20</definedName>
    <definedName name="_26h_F23">'Голубинская д.32|2'!$D$21</definedName>
    <definedName name="_26h_F24">'Голубинская д.32|2'!$D$22</definedName>
    <definedName name="_26h_F25">'Голубинская д.32|2'!$D$23</definedName>
    <definedName name="_26h_F26">'Голубинская д.32|2'!$D$24</definedName>
    <definedName name="_26h_F27">'Голубинская д.32|2'!$D$25</definedName>
    <definedName name="_26h_F28">'Голубинская д.32|2'!$D$26</definedName>
    <definedName name="_26h_F29">'Голубинская д.32|2'!$D$27</definedName>
    <definedName name="_26h_F30">'Голубинская д.32|2'!$D$28</definedName>
    <definedName name="_26h_F31">'Голубинская д.32|2'!$D$29</definedName>
    <definedName name="_26h_F32">'Голубинская д.32|2'!$D$30</definedName>
    <definedName name="_26h_F33">'Голубинская д.32|2'!$D$31</definedName>
    <definedName name="_26h_F34">'Голубинская д.32|2'!$D$32</definedName>
    <definedName name="_26h_F35">'Голубинская д.32|2'!$D$33</definedName>
    <definedName name="_26h_F36">'Голубинская д.32|2'!$D$34</definedName>
    <definedName name="_26h_F37">'Голубинская д.32|2'!$D$35</definedName>
    <definedName name="_26h_F38">'Голубинская д.32|2'!$D$36</definedName>
    <definedName name="_26h_F39">'Голубинская д.32|2'!$D$37</definedName>
    <definedName name="_26h_F40">'Голубинская д.32|2'!$D$38</definedName>
    <definedName name="_26h_F41">'Голубинская д.32|2'!$D$39</definedName>
    <definedName name="_26h_F42">'Голубинская д.32|2'!$D$40</definedName>
    <definedName name="_26h_F43">'Голубинская д.32|2'!$D$41</definedName>
    <definedName name="_26h_F44">'Голубинская д.32|2'!$D$42</definedName>
    <definedName name="_26h_F45">'Голубинская д.32|2'!$D$43</definedName>
    <definedName name="_26h_F46">'Голубинская д.32|2'!$D$44</definedName>
    <definedName name="_26h_F47">'Голубинская д.32|2'!$D$45</definedName>
    <definedName name="_26h_F48">'Голубинская д.32|2'!$D$46</definedName>
    <definedName name="_26h_F49">'Голубинская д.32|2'!$D$47</definedName>
    <definedName name="_26h_F50">'Голубинская д.32|2'!$D$48</definedName>
    <definedName name="_26h_F51">'Голубинская д.32|2'!$D$49</definedName>
    <definedName name="_26h_F52">'Голубинская д.32|2'!#REF!</definedName>
    <definedName name="_26h_F53">'Голубинская д.32|2'!$D$50</definedName>
    <definedName name="_26h_F54">'Голубинская д.32|2'!$D$51</definedName>
    <definedName name="_26h_F55">'Голубинская д.32|2'!$D$52</definedName>
    <definedName name="_26h_F56">'Голубинская д.32|2'!$D$53</definedName>
    <definedName name="_26h_F57">'Голубинская д.32|2'!$D$54</definedName>
    <definedName name="_26h_F58">'Голубинская д.32|2'!$D$55</definedName>
    <definedName name="_26h_F59">'Голубинская д.32|2'!$D$56</definedName>
    <definedName name="_26h_F60">'Голубинская д.32|2'!$D$57</definedName>
    <definedName name="_26h_F61">'Голубинская д.32|2'!$D$58</definedName>
    <definedName name="_26h_F62">'Голубинская д.32|2'!$D$59</definedName>
    <definedName name="_26h_F63">'Голубинская д.32|2'!#REF!</definedName>
    <definedName name="_26h_F64">'Голубинская д.32|2'!$D$60</definedName>
    <definedName name="_26h_F65">'Голубинская д.32|2'!$D$61</definedName>
    <definedName name="_26h_F7">'Голубинская д.32|2'!$D$5</definedName>
    <definedName name="_26h_F8">'Голубинская д.32|2'!$D$6</definedName>
    <definedName name="_26h_F9">'Голубинская д.32|2'!$D$7</definedName>
    <definedName name="_27h_E10">'Инессы Арманд д.3'!$C$8</definedName>
    <definedName name="_27h_E11">'Инессы Арманд д.3'!$C$9</definedName>
    <definedName name="_27h_E12">'Инессы Арманд д.3'!$C$10</definedName>
    <definedName name="_27h_E13">'Инессы Арманд д.3'!$C$11</definedName>
    <definedName name="_27h_E14">'Инессы Арманд д.3'!$C$12</definedName>
    <definedName name="_27h_E15">'Инессы Арманд д.3'!$C$13</definedName>
    <definedName name="_27h_E16">'Инессы Арманд д.3'!$C$14</definedName>
    <definedName name="_27h_E17">'Инессы Арманд д.3'!$C$15</definedName>
    <definedName name="_27h_E18">'Инессы Арманд д.3'!$C$16</definedName>
    <definedName name="_27h_E19">'Инессы Арманд д.3'!$C$17</definedName>
    <definedName name="_27h_E20">'Инессы Арманд д.3'!$C$18</definedName>
    <definedName name="_27h_E21">'Инессы Арманд д.3'!$C$19</definedName>
    <definedName name="_27h_E22">'Инессы Арманд д.3'!$C$20</definedName>
    <definedName name="_27h_E23">'Инессы Арманд д.3'!$C$21</definedName>
    <definedName name="_27h_E24">'Инессы Арманд д.3'!$C$22</definedName>
    <definedName name="_27h_E25">'Инессы Арманд д.3'!$C$23</definedName>
    <definedName name="_27h_E26">'Инессы Арманд д.3'!$C$24</definedName>
    <definedName name="_27h_E27">'Инессы Арманд д.3'!$C$25</definedName>
    <definedName name="_27h_E28">'Инессы Арманд д.3'!$C$26</definedName>
    <definedName name="_27h_E29">'Инессы Арманд д.3'!$C$27</definedName>
    <definedName name="_27h_E30">'Инессы Арманд д.3'!$C$28</definedName>
    <definedName name="_27h_E31">'Инессы Арманд д.3'!$C$29</definedName>
    <definedName name="_27h_E32">'Инессы Арманд д.3'!$C$30</definedName>
    <definedName name="_27h_E33">'Инессы Арманд д.3'!$C$31</definedName>
    <definedName name="_27h_E34">'Инессы Арманд д.3'!$C$32</definedName>
    <definedName name="_27h_E35">'Инессы Арманд д.3'!$C$33</definedName>
    <definedName name="_27h_E36">'Инессы Арманд д.3'!$C$34</definedName>
    <definedName name="_27h_E37">'Инессы Арманд д.3'!$C$35</definedName>
    <definedName name="_27h_E38">'Инессы Арманд д.3'!$C$36</definedName>
    <definedName name="_27h_E39">'Инессы Арманд д.3'!$C$37</definedName>
    <definedName name="_27h_E40">'Инессы Арманд д.3'!$C$38</definedName>
    <definedName name="_27h_E41">'Инессы Арманд д.3'!$C$39</definedName>
    <definedName name="_27h_E42">'Инессы Арманд д.3'!$C$40</definedName>
    <definedName name="_27h_E43">'Инессы Арманд д.3'!$C$41</definedName>
    <definedName name="_27h_E44">'Инессы Арманд д.3'!$C$42</definedName>
    <definedName name="_27h_E45">'Инессы Арманд д.3'!$C$43</definedName>
    <definedName name="_27h_E46">'Инессы Арманд д.3'!$C$44</definedName>
    <definedName name="_27h_E47">'Инессы Арманд д.3'!$C$45</definedName>
    <definedName name="_27h_E48">'Инессы Арманд д.3'!$C$46</definedName>
    <definedName name="_27h_E49">'Инессы Арманд д.3'!$C$47</definedName>
    <definedName name="_27h_E50">'Инессы Арманд д.3'!$C$48</definedName>
    <definedName name="_27h_E51">'Инессы Арманд д.3'!$C$49</definedName>
    <definedName name="_27h_E52">'Инессы Арманд д.3'!#REF!</definedName>
    <definedName name="_27h_E53">'Инессы Арманд д.3'!$C$50</definedName>
    <definedName name="_27h_E54">'Инессы Арманд д.3'!$C$51</definedName>
    <definedName name="_27h_E55">'Инессы Арманд д.3'!$C$52</definedName>
    <definedName name="_27h_E56">'Инессы Арманд д.3'!$C$53</definedName>
    <definedName name="_27h_E57">'Инессы Арманд д.3'!$C$54</definedName>
    <definedName name="_27h_E58">'Инессы Арманд д.3'!$C$55</definedName>
    <definedName name="_27h_E59">'Инессы Арманд д.3'!$C$56</definedName>
    <definedName name="_27h_E60">'Инессы Арманд д.3'!$C$57</definedName>
    <definedName name="_27h_E61">'Инессы Арманд д.3'!$C$58</definedName>
    <definedName name="_27h_E62">'Инессы Арманд д.3'!$C$59</definedName>
    <definedName name="_27h_E63">'Инессы Арманд д.3'!#REF!</definedName>
    <definedName name="_27h_E64">'Инессы Арманд д.3'!$C$60</definedName>
    <definedName name="_27h_E65">'Инессы Арманд д.3'!$C$61</definedName>
    <definedName name="_27h_E7">'Инессы Арманд д.3'!$C$5</definedName>
    <definedName name="_27h_E8">'Инессы Арманд д.3'!$C$6</definedName>
    <definedName name="_27h_E9">'Инессы Арманд д.3'!$C$7</definedName>
    <definedName name="_27h_F10">'Инессы Арманд д.3'!$D$8</definedName>
    <definedName name="_27h_F11">'Инессы Арманд д.3'!$D$9</definedName>
    <definedName name="_27h_F12">'Инессы Арманд д.3'!$D$10</definedName>
    <definedName name="_27h_F13">'Инессы Арманд д.3'!$D$11</definedName>
    <definedName name="_27h_F14">'Инессы Арманд д.3'!$D$12</definedName>
    <definedName name="_27h_F15">'Инессы Арманд д.3'!$D$13</definedName>
    <definedName name="_27h_F16">'Инессы Арманд д.3'!$D$14</definedName>
    <definedName name="_27h_F17">'Инессы Арманд д.3'!$D$15</definedName>
    <definedName name="_27h_F18">'Инессы Арманд д.3'!$D$16</definedName>
    <definedName name="_27h_F19">'Инессы Арманд д.3'!$D$17</definedName>
    <definedName name="_27h_F20">'Инессы Арманд д.3'!$D$18</definedName>
    <definedName name="_27h_F21">'Инессы Арманд д.3'!$D$19</definedName>
    <definedName name="_27h_F22">'Инессы Арманд д.3'!$D$20</definedName>
    <definedName name="_27h_F23">'Инессы Арманд д.3'!$D$21</definedName>
    <definedName name="_27h_F24">'Инессы Арманд д.3'!$D$22</definedName>
    <definedName name="_27h_F25">'Инессы Арманд д.3'!$D$23</definedName>
    <definedName name="_27h_F26">'Инессы Арманд д.3'!$D$24</definedName>
    <definedName name="_27h_F27">'Инессы Арманд д.3'!$D$25</definedName>
    <definedName name="_27h_F28">'Инессы Арманд д.3'!$D$26</definedName>
    <definedName name="_27h_F29">'Инессы Арманд д.3'!$D$27</definedName>
    <definedName name="_27h_F30">'Инессы Арманд д.3'!$D$28</definedName>
    <definedName name="_27h_F31">'Инессы Арманд д.3'!$D$29</definedName>
    <definedName name="_27h_F32">'Инессы Арманд д.3'!$D$30</definedName>
    <definedName name="_27h_F33">'Инессы Арманд д.3'!$D$31</definedName>
    <definedName name="_27h_F34">'Инессы Арманд д.3'!$D$32</definedName>
    <definedName name="_27h_F35">'Инессы Арманд д.3'!$D$33</definedName>
    <definedName name="_27h_F36">'Инессы Арманд д.3'!$D$34</definedName>
    <definedName name="_27h_F37">'Инессы Арманд д.3'!$D$35</definedName>
    <definedName name="_27h_F38">'Инессы Арманд д.3'!$D$36</definedName>
    <definedName name="_27h_F39">'Инессы Арманд д.3'!$D$37</definedName>
    <definedName name="_27h_F40">'Инессы Арманд д.3'!$D$38</definedName>
    <definedName name="_27h_F41">'Инессы Арманд д.3'!$D$39</definedName>
    <definedName name="_27h_F42">'Инессы Арманд д.3'!$D$40</definedName>
    <definedName name="_27h_F43">'Инессы Арманд д.3'!$D$41</definedName>
    <definedName name="_27h_F44">'Инессы Арманд д.3'!$D$42</definedName>
    <definedName name="_27h_F45">'Инессы Арманд д.3'!$D$43</definedName>
    <definedName name="_27h_F46">'Инессы Арманд д.3'!$D$44</definedName>
    <definedName name="_27h_F47">'Инессы Арманд д.3'!$D$45</definedName>
    <definedName name="_27h_F48">'Инессы Арманд д.3'!$D$46</definedName>
    <definedName name="_27h_F49">'Инессы Арманд д.3'!$D$47</definedName>
    <definedName name="_27h_F50">'Инессы Арманд д.3'!$D$48</definedName>
    <definedName name="_27h_F51">'Инессы Арманд д.3'!$D$49</definedName>
    <definedName name="_27h_F52">'Инессы Арманд д.3'!#REF!</definedName>
    <definedName name="_27h_F53">'Инессы Арманд д.3'!$D$50</definedName>
    <definedName name="_27h_F54">'Инессы Арманд д.3'!$D$51</definedName>
    <definedName name="_27h_F55">'Инессы Арманд д.3'!$D$52</definedName>
    <definedName name="_27h_F56">'Инессы Арманд д.3'!$D$53</definedName>
    <definedName name="_27h_F57">'Инессы Арманд д.3'!$D$54</definedName>
    <definedName name="_27h_F58">'Инессы Арманд д.3'!$D$55</definedName>
    <definedName name="_27h_F59">'Инессы Арманд д.3'!$D$56</definedName>
    <definedName name="_27h_F60">'Инессы Арманд д.3'!$D$57</definedName>
    <definedName name="_27h_F61">'Инессы Арманд д.3'!$D$58</definedName>
    <definedName name="_27h_F62">'Инессы Арманд д.3'!$D$59</definedName>
    <definedName name="_27h_F63">'Инессы Арманд д.3'!#REF!</definedName>
    <definedName name="_27h_F64">'Инессы Арманд д.3'!$D$60</definedName>
    <definedName name="_27h_F65">'Инессы Арманд д.3'!$D$61</definedName>
    <definedName name="_27h_F7">'Инессы Арманд д.3'!$D$5</definedName>
    <definedName name="_27h_F8">'Инессы Арманд д.3'!$D$6</definedName>
    <definedName name="_27h_F9">'Инессы Арманд д.3'!$D$7</definedName>
    <definedName name="_28h_E10">'И~ д.4 к.1 стр.п.1-10,15-16'!$C$8</definedName>
    <definedName name="_28h_E11">'И~ д.4 к.1 стр.п.1-10,15-16'!$C$9</definedName>
    <definedName name="_28h_E12">'И~ д.4 к.1 стр.п.1-10,15-16'!$C$10</definedName>
    <definedName name="_28h_E13">'И~ д.4 к.1 стр.п.1-10,15-16'!$C$11</definedName>
    <definedName name="_28h_E14">'И~ д.4 к.1 стр.п.1-10,15-16'!$C$12</definedName>
    <definedName name="_28h_E15">'И~ д.4 к.1 стр.п.1-10,15-16'!$C$13</definedName>
    <definedName name="_28h_E16">'И~ д.4 к.1 стр.п.1-10,15-16'!$C$14</definedName>
    <definedName name="_28h_E17">'И~ д.4 к.1 стр.п.1-10,15-16'!$C$15</definedName>
    <definedName name="_28h_E18">'И~ д.4 к.1 стр.п.1-10,15-16'!$C$16</definedName>
    <definedName name="_28h_E19">'И~ д.4 к.1 стр.п.1-10,15-16'!$C$17</definedName>
    <definedName name="_28h_E20">'И~ д.4 к.1 стр.п.1-10,15-16'!$C$18</definedName>
    <definedName name="_28h_E21">'И~ д.4 к.1 стр.п.1-10,15-16'!$C$19</definedName>
    <definedName name="_28h_E22">'И~ д.4 к.1 стр.п.1-10,15-16'!$C$20</definedName>
    <definedName name="_28h_E23">'И~ д.4 к.1 стр.п.1-10,15-16'!$C$21</definedName>
    <definedName name="_28h_E24">'И~ д.4 к.1 стр.п.1-10,15-16'!$C$22</definedName>
    <definedName name="_28h_E25">'И~ д.4 к.1 стр.п.1-10,15-16'!$C$23</definedName>
    <definedName name="_28h_E26">'И~ д.4 к.1 стр.п.1-10,15-16'!$C$24</definedName>
    <definedName name="_28h_E27">'И~ д.4 к.1 стр.п.1-10,15-16'!$C$25</definedName>
    <definedName name="_28h_E28">'И~ д.4 к.1 стр.п.1-10,15-16'!$C$26</definedName>
    <definedName name="_28h_E29">'И~ д.4 к.1 стр.п.1-10,15-16'!$C$27</definedName>
    <definedName name="_28h_E30">'И~ д.4 к.1 стр.п.1-10,15-16'!$C$28</definedName>
    <definedName name="_28h_E31">'И~ д.4 к.1 стр.п.1-10,15-16'!$C$29</definedName>
    <definedName name="_28h_E32">'И~ д.4 к.1 стр.п.1-10,15-16'!$C$30</definedName>
    <definedName name="_28h_E33">'И~ д.4 к.1 стр.п.1-10,15-16'!$C$31</definedName>
    <definedName name="_28h_E34">'И~ д.4 к.1 стр.п.1-10,15-16'!$C$32</definedName>
    <definedName name="_28h_E35">'И~ д.4 к.1 стр.п.1-10,15-16'!$C$33</definedName>
    <definedName name="_28h_E36">'И~ д.4 к.1 стр.п.1-10,15-16'!$C$34</definedName>
    <definedName name="_28h_E37">'И~ д.4 к.1 стр.п.1-10,15-16'!$C$35</definedName>
    <definedName name="_28h_E38">'И~ д.4 к.1 стр.п.1-10,15-16'!$C$36</definedName>
    <definedName name="_28h_E39">'И~ д.4 к.1 стр.п.1-10,15-16'!$C$37</definedName>
    <definedName name="_28h_E40">'И~ д.4 к.1 стр.п.1-10,15-16'!$C$38</definedName>
    <definedName name="_28h_E41">'И~ д.4 к.1 стр.п.1-10,15-16'!$C$39</definedName>
    <definedName name="_28h_E42">'И~ д.4 к.1 стр.п.1-10,15-16'!$C$40</definedName>
    <definedName name="_28h_E43">'И~ д.4 к.1 стр.п.1-10,15-16'!$C$41</definedName>
    <definedName name="_28h_E44">'И~ д.4 к.1 стр.п.1-10,15-16'!$C$42</definedName>
    <definedName name="_28h_E45">'И~ д.4 к.1 стр.п.1-10,15-16'!$C$43</definedName>
    <definedName name="_28h_E46">'И~ д.4 к.1 стр.п.1-10,15-16'!$C$44</definedName>
    <definedName name="_28h_E47">'И~ д.4 к.1 стр.п.1-10,15-16'!$C$45</definedName>
    <definedName name="_28h_E48">'И~ д.4 к.1 стр.п.1-10,15-16'!$C$46</definedName>
    <definedName name="_28h_E49">'И~ д.4 к.1 стр.п.1-10,15-16'!$C$47</definedName>
    <definedName name="_28h_E50">'И~ д.4 к.1 стр.п.1-10,15-16'!$C$48</definedName>
    <definedName name="_28h_E51">'И~ д.4 к.1 стр.п.1-10,15-16'!$C$49</definedName>
    <definedName name="_28h_E52">'И~ д.4 к.1 стр.п.1-10,15-16'!#REF!</definedName>
    <definedName name="_28h_E53">'И~ д.4 к.1 стр.п.1-10,15-16'!$C$50</definedName>
    <definedName name="_28h_E54">'И~ д.4 к.1 стр.п.1-10,15-16'!$C$51</definedName>
    <definedName name="_28h_E55">'И~ д.4 к.1 стр.п.1-10,15-16'!$C$52</definedName>
    <definedName name="_28h_E56">'И~ д.4 к.1 стр.п.1-10,15-16'!$C$53</definedName>
    <definedName name="_28h_E57">'И~ д.4 к.1 стр.п.1-10,15-16'!$C$54</definedName>
    <definedName name="_28h_E58">'И~ д.4 к.1 стр.п.1-10,15-16'!$C$55</definedName>
    <definedName name="_28h_E59">'И~ д.4 к.1 стр.п.1-10,15-16'!$C$56</definedName>
    <definedName name="_28h_E60">'И~ д.4 к.1 стр.п.1-10,15-16'!$C$57</definedName>
    <definedName name="_28h_E61">'И~ д.4 к.1 стр.п.1-10,15-16'!$C$58</definedName>
    <definedName name="_28h_E62">'И~ д.4 к.1 стр.п.1-10,15-16'!$C$59</definedName>
    <definedName name="_28h_E63">'И~ д.4 к.1 стр.п.1-10,15-16'!#REF!</definedName>
    <definedName name="_28h_E64">'И~ д.4 к.1 стр.п.1-10,15-16'!$C$60</definedName>
    <definedName name="_28h_E65">'И~ д.4 к.1 стр.п.1-10,15-16'!$C$61</definedName>
    <definedName name="_28h_E7">'И~ д.4 к.1 стр.п.1-10,15-16'!$C$5</definedName>
    <definedName name="_28h_E8">'И~ д.4 к.1 стр.п.1-10,15-16'!$C$6</definedName>
    <definedName name="_28h_E9">'И~ д.4 к.1 стр.п.1-10,15-16'!$C$7</definedName>
    <definedName name="_28h_F10">'И~ д.4 к.1 стр.п.1-10,15-16'!$D$8</definedName>
    <definedName name="_28h_F11">'И~ д.4 к.1 стр.п.1-10,15-16'!$D$9</definedName>
    <definedName name="_28h_F12">'И~ д.4 к.1 стр.п.1-10,15-16'!$D$10</definedName>
    <definedName name="_28h_F13">'И~ д.4 к.1 стр.п.1-10,15-16'!$D$11</definedName>
    <definedName name="_28h_F14">'И~ д.4 к.1 стр.п.1-10,15-16'!$D$12</definedName>
    <definedName name="_28h_F15">'И~ д.4 к.1 стр.п.1-10,15-16'!$D$13</definedName>
    <definedName name="_28h_F16">'И~ д.4 к.1 стр.п.1-10,15-16'!$D$14</definedName>
    <definedName name="_28h_F17">'И~ д.4 к.1 стр.п.1-10,15-16'!$D$15</definedName>
    <definedName name="_28h_F18">'И~ д.4 к.1 стр.п.1-10,15-16'!$D$16</definedName>
    <definedName name="_28h_F19">'И~ д.4 к.1 стр.п.1-10,15-16'!$D$17</definedName>
    <definedName name="_28h_F20">'И~ д.4 к.1 стр.п.1-10,15-16'!$D$18</definedName>
    <definedName name="_28h_F21">'И~ д.4 к.1 стр.п.1-10,15-16'!$D$19</definedName>
    <definedName name="_28h_F22">'И~ д.4 к.1 стр.п.1-10,15-16'!$D$20</definedName>
    <definedName name="_28h_F23">'И~ д.4 к.1 стр.п.1-10,15-16'!$D$21</definedName>
    <definedName name="_28h_F24">'И~ д.4 к.1 стр.п.1-10,15-16'!$D$22</definedName>
    <definedName name="_28h_F25">'И~ д.4 к.1 стр.п.1-10,15-16'!$D$23</definedName>
    <definedName name="_28h_F26">'И~ д.4 к.1 стр.п.1-10,15-16'!$D$24</definedName>
    <definedName name="_28h_F27">'И~ д.4 к.1 стр.п.1-10,15-16'!$D$25</definedName>
    <definedName name="_28h_F28">'И~ д.4 к.1 стр.п.1-10,15-16'!$D$26</definedName>
    <definedName name="_28h_F29">'И~ д.4 к.1 стр.п.1-10,15-16'!$D$27</definedName>
    <definedName name="_28h_F30">'И~ д.4 к.1 стр.п.1-10,15-16'!$D$28</definedName>
    <definedName name="_28h_F31">'И~ д.4 к.1 стр.п.1-10,15-16'!$D$29</definedName>
    <definedName name="_28h_F32">'И~ д.4 к.1 стр.п.1-10,15-16'!$D$30</definedName>
    <definedName name="_28h_F33">'И~ д.4 к.1 стр.п.1-10,15-16'!$D$31</definedName>
    <definedName name="_28h_F34">'И~ д.4 к.1 стр.п.1-10,15-16'!$D$32</definedName>
    <definedName name="_28h_F35">'И~ д.4 к.1 стр.п.1-10,15-16'!$D$33</definedName>
    <definedName name="_28h_F36">'И~ д.4 к.1 стр.п.1-10,15-16'!$D$34</definedName>
    <definedName name="_28h_F37">'И~ д.4 к.1 стр.п.1-10,15-16'!$D$35</definedName>
    <definedName name="_28h_F38">'И~ д.4 к.1 стр.п.1-10,15-16'!$D$36</definedName>
    <definedName name="_28h_F39">'И~ д.4 к.1 стр.п.1-10,15-16'!$D$37</definedName>
    <definedName name="_28h_F40">'И~ д.4 к.1 стр.п.1-10,15-16'!$D$38</definedName>
    <definedName name="_28h_F41">'И~ д.4 к.1 стр.п.1-10,15-16'!$D$39</definedName>
    <definedName name="_28h_F42">'И~ д.4 к.1 стр.п.1-10,15-16'!$D$40</definedName>
    <definedName name="_28h_F43">'И~ д.4 к.1 стр.п.1-10,15-16'!$D$41</definedName>
    <definedName name="_28h_F44">'И~ д.4 к.1 стр.п.1-10,15-16'!$D$42</definedName>
    <definedName name="_28h_F45">'И~ д.4 к.1 стр.п.1-10,15-16'!$D$43</definedName>
    <definedName name="_28h_F46">'И~ д.4 к.1 стр.п.1-10,15-16'!$D$44</definedName>
    <definedName name="_28h_F47">'И~ д.4 к.1 стр.п.1-10,15-16'!$D$45</definedName>
    <definedName name="_28h_F48">'И~ д.4 к.1 стр.п.1-10,15-16'!$D$46</definedName>
    <definedName name="_28h_F49">'И~ д.4 к.1 стр.п.1-10,15-16'!$D$47</definedName>
    <definedName name="_28h_F50">'И~ д.4 к.1 стр.п.1-10,15-16'!$D$48</definedName>
    <definedName name="_28h_F51">'И~ д.4 к.1 стр.п.1-10,15-16'!$D$49</definedName>
    <definedName name="_28h_F52">'И~ д.4 к.1 стр.п.1-10,15-16'!#REF!</definedName>
    <definedName name="_28h_F53">'И~ д.4 к.1 стр.п.1-10,15-16'!$D$50</definedName>
    <definedName name="_28h_F54">'И~ д.4 к.1 стр.п.1-10,15-16'!$D$51</definedName>
    <definedName name="_28h_F55">'И~ д.4 к.1 стр.п.1-10,15-16'!$D$52</definedName>
    <definedName name="_28h_F56">'И~ д.4 к.1 стр.п.1-10,15-16'!$D$53</definedName>
    <definedName name="_28h_F57">'И~ д.4 к.1 стр.п.1-10,15-16'!$D$54</definedName>
    <definedName name="_28h_F58">'И~ д.4 к.1 стр.п.1-10,15-16'!$D$55</definedName>
    <definedName name="_28h_F59">'И~ д.4 к.1 стр.п.1-10,15-16'!$D$56</definedName>
    <definedName name="_28h_F60">'И~ д.4 к.1 стр.п.1-10,15-16'!$D$57</definedName>
    <definedName name="_28h_F61">'И~ д.4 к.1 стр.п.1-10,15-16'!$D$58</definedName>
    <definedName name="_28h_F62">'И~ д.4 к.1 стр.п.1-10,15-16'!$D$59</definedName>
    <definedName name="_28h_F63">'И~ д.4 к.1 стр.п.1-10,15-16'!#REF!</definedName>
    <definedName name="_28h_F64">'И~ д.4 к.1 стр.п.1-10,15-16'!$D$60</definedName>
    <definedName name="_28h_F65">'И~ д.4 к.1 стр.п.1-10,15-16'!$D$61</definedName>
    <definedName name="_28h_F7">'И~ д.4 к.1 стр.п.1-10,15-16'!$D$5</definedName>
    <definedName name="_28h_F8">'И~ д.4 к.1 стр.п.1-10,15-16'!$D$6</definedName>
    <definedName name="_28h_F9">'И~ д.4 к.1 стр.п.1-10,15-16'!$D$7</definedName>
    <definedName name="_29h_E10">'И~ д.4 к.1 стр.п.11-14 ЖСК Лада'!$C$8</definedName>
    <definedName name="_29h_E11">'И~ д.4 к.1 стр.п.11-14 ЖСК Лада'!$C$9</definedName>
    <definedName name="_29h_E12">'И~ д.4 к.1 стр.п.11-14 ЖСК Лада'!$C$10</definedName>
    <definedName name="_29h_E13">'И~ д.4 к.1 стр.п.11-14 ЖСК Лада'!$C$11</definedName>
    <definedName name="_29h_E14">'И~ д.4 к.1 стр.п.11-14 ЖСК Лада'!$C$12</definedName>
    <definedName name="_29h_E15">'И~ д.4 к.1 стр.п.11-14 ЖСК Лада'!$C$13</definedName>
    <definedName name="_29h_E16">'И~ д.4 к.1 стр.п.11-14 ЖСК Лада'!$C$14</definedName>
    <definedName name="_29h_E17">'И~ д.4 к.1 стр.п.11-14 ЖСК Лада'!$C$15</definedName>
    <definedName name="_29h_E18">'И~ д.4 к.1 стр.п.11-14 ЖСК Лада'!$C$16</definedName>
    <definedName name="_29h_E19">'И~ д.4 к.1 стр.п.11-14 ЖСК Лада'!$C$17</definedName>
    <definedName name="_29h_E20">'И~ д.4 к.1 стр.п.11-14 ЖСК Лада'!$C$18</definedName>
    <definedName name="_29h_E21">'И~ д.4 к.1 стр.п.11-14 ЖСК Лада'!$C$19</definedName>
    <definedName name="_29h_E22">'И~ д.4 к.1 стр.п.11-14 ЖСК Лада'!$C$20</definedName>
    <definedName name="_29h_E23">'И~ д.4 к.1 стр.п.11-14 ЖСК Лада'!$C$21</definedName>
    <definedName name="_29h_E24">'И~ д.4 к.1 стр.п.11-14 ЖСК Лада'!$C$22</definedName>
    <definedName name="_29h_E25">'И~ д.4 к.1 стр.п.11-14 ЖСК Лада'!$C$23</definedName>
    <definedName name="_29h_E26">'И~ д.4 к.1 стр.п.11-14 ЖСК Лада'!$C$24</definedName>
    <definedName name="_29h_E27">'И~ д.4 к.1 стр.п.11-14 ЖСК Лада'!$C$25</definedName>
    <definedName name="_29h_E28">'И~ д.4 к.1 стр.п.11-14 ЖСК Лада'!$C$26</definedName>
    <definedName name="_29h_E29">'И~ д.4 к.1 стр.п.11-14 ЖСК Лада'!$C$27</definedName>
    <definedName name="_29h_E30">'И~ д.4 к.1 стр.п.11-14 ЖСК Лада'!$C$28</definedName>
    <definedName name="_29h_E31">'И~ д.4 к.1 стр.п.11-14 ЖСК Лада'!$C$29</definedName>
    <definedName name="_29h_E32">'И~ д.4 к.1 стр.п.11-14 ЖСК Лада'!$C$30</definedName>
    <definedName name="_29h_E33">'И~ д.4 к.1 стр.п.11-14 ЖСК Лада'!$C$31</definedName>
    <definedName name="_29h_E34">'И~ д.4 к.1 стр.п.11-14 ЖСК Лада'!$C$32</definedName>
    <definedName name="_29h_E35">'И~ д.4 к.1 стр.п.11-14 ЖСК Лада'!$C$33</definedName>
    <definedName name="_29h_E36">'И~ д.4 к.1 стр.п.11-14 ЖСК Лада'!$C$34</definedName>
    <definedName name="_29h_E37">'И~ д.4 к.1 стр.п.11-14 ЖСК Лада'!$C$35</definedName>
    <definedName name="_29h_E38">'И~ д.4 к.1 стр.п.11-14 ЖСК Лада'!$C$36</definedName>
    <definedName name="_29h_E39">'И~ д.4 к.1 стр.п.11-14 ЖСК Лада'!$C$37</definedName>
    <definedName name="_29h_E40">'И~ д.4 к.1 стр.п.11-14 ЖСК Лада'!$C$38</definedName>
    <definedName name="_29h_E41">'И~ д.4 к.1 стр.п.11-14 ЖСК Лада'!$C$39</definedName>
    <definedName name="_29h_E42">'И~ д.4 к.1 стр.п.11-14 ЖСК Лада'!$C$40</definedName>
    <definedName name="_29h_E43">'И~ д.4 к.1 стр.п.11-14 ЖСК Лада'!$C$41</definedName>
    <definedName name="_29h_E44">'И~ д.4 к.1 стр.п.11-14 ЖСК Лада'!$C$42</definedName>
    <definedName name="_29h_E45">'И~ д.4 к.1 стр.п.11-14 ЖСК Лада'!$C$43</definedName>
    <definedName name="_29h_E46">'И~ д.4 к.1 стр.п.11-14 ЖСК Лада'!$C$44</definedName>
    <definedName name="_29h_E47">'И~ д.4 к.1 стр.п.11-14 ЖСК Лада'!$C$45</definedName>
    <definedName name="_29h_E48">'И~ д.4 к.1 стр.п.11-14 ЖСК Лада'!$C$46</definedName>
    <definedName name="_29h_E49">'И~ д.4 к.1 стр.п.11-14 ЖСК Лада'!$C$47</definedName>
    <definedName name="_29h_E50">'И~ д.4 к.1 стр.п.11-14 ЖСК Лада'!$C$48</definedName>
    <definedName name="_29h_E51">'И~ д.4 к.1 стр.п.11-14 ЖСК Лада'!$C$49</definedName>
    <definedName name="_29h_E52">'И~ д.4 к.1 стр.п.11-14 ЖСК Лада'!#REF!</definedName>
    <definedName name="_29h_E53">'И~ д.4 к.1 стр.п.11-14 ЖСК Лада'!$C$50</definedName>
    <definedName name="_29h_E54">'И~ д.4 к.1 стр.п.11-14 ЖСК Лада'!$C$51</definedName>
    <definedName name="_29h_E55">'И~ д.4 к.1 стр.п.11-14 ЖСК Лада'!$C$52</definedName>
    <definedName name="_29h_E56">'И~ д.4 к.1 стр.п.11-14 ЖСК Лада'!$C$53</definedName>
    <definedName name="_29h_E57">'И~ д.4 к.1 стр.п.11-14 ЖСК Лада'!$C$54</definedName>
    <definedName name="_29h_E58">'И~ д.4 к.1 стр.п.11-14 ЖСК Лада'!$C$55</definedName>
    <definedName name="_29h_E59">'И~ д.4 к.1 стр.п.11-14 ЖСК Лада'!$C$56</definedName>
    <definedName name="_29h_E60">'И~ д.4 к.1 стр.п.11-14 ЖСК Лада'!$C$57</definedName>
    <definedName name="_29h_E61">'И~ д.4 к.1 стр.п.11-14 ЖСК Лада'!$C$58</definedName>
    <definedName name="_29h_E62">'И~ д.4 к.1 стр.п.11-14 ЖСК Лада'!$C$59</definedName>
    <definedName name="_29h_E63">'И~ д.4 к.1 стр.п.11-14 ЖСК Лада'!#REF!</definedName>
    <definedName name="_29h_E64">'И~ д.4 к.1 стр.п.11-14 ЖСК Лада'!$C$60</definedName>
    <definedName name="_29h_E65">'И~ д.4 к.1 стр.п.11-14 ЖСК Лада'!$C$61</definedName>
    <definedName name="_29h_E7">'И~ д.4 к.1 стр.п.11-14 ЖСК Лада'!$C$5</definedName>
    <definedName name="_29h_E8">'И~ д.4 к.1 стр.п.11-14 ЖСК Лада'!$C$6</definedName>
    <definedName name="_29h_E9">'И~ д.4 к.1 стр.п.11-14 ЖСК Лада'!$C$7</definedName>
    <definedName name="_29h_F10">'И~ д.4 к.1 стр.п.11-14 ЖСК Лада'!$D$8</definedName>
    <definedName name="_29h_F11">'И~ д.4 к.1 стр.п.11-14 ЖСК Лада'!$D$9</definedName>
    <definedName name="_29h_F12">'И~ д.4 к.1 стр.п.11-14 ЖСК Лада'!$D$10</definedName>
    <definedName name="_29h_F13">'И~ д.4 к.1 стр.п.11-14 ЖСК Лада'!$D$11</definedName>
    <definedName name="_29h_F14">'И~ д.4 к.1 стр.п.11-14 ЖСК Лада'!$D$12</definedName>
    <definedName name="_29h_F15">'И~ д.4 к.1 стр.п.11-14 ЖСК Лада'!$D$13</definedName>
    <definedName name="_29h_F16">'И~ д.4 к.1 стр.п.11-14 ЖСК Лада'!$D$14</definedName>
    <definedName name="_29h_F17">'И~ д.4 к.1 стр.п.11-14 ЖСК Лада'!$D$15</definedName>
    <definedName name="_29h_F18">'И~ д.4 к.1 стр.п.11-14 ЖСК Лада'!$D$16</definedName>
    <definedName name="_29h_F19">'И~ д.4 к.1 стр.п.11-14 ЖСК Лада'!$D$17</definedName>
    <definedName name="_29h_F20">'И~ д.4 к.1 стр.п.11-14 ЖСК Лада'!$D$18</definedName>
    <definedName name="_29h_F21">'И~ д.4 к.1 стр.п.11-14 ЖСК Лада'!$D$19</definedName>
    <definedName name="_29h_F22">'И~ д.4 к.1 стр.п.11-14 ЖСК Лада'!$D$20</definedName>
    <definedName name="_29h_F23">'И~ д.4 к.1 стр.п.11-14 ЖСК Лада'!$D$21</definedName>
    <definedName name="_29h_F24">'И~ д.4 к.1 стр.п.11-14 ЖСК Лада'!$D$22</definedName>
    <definedName name="_29h_F25">'И~ д.4 к.1 стр.п.11-14 ЖСК Лада'!$D$23</definedName>
    <definedName name="_29h_F26">'И~ д.4 к.1 стр.п.11-14 ЖСК Лада'!$D$24</definedName>
    <definedName name="_29h_F27">'И~ д.4 к.1 стр.п.11-14 ЖСК Лада'!$D$25</definedName>
    <definedName name="_29h_F28">'И~ д.4 к.1 стр.п.11-14 ЖСК Лада'!$D$26</definedName>
    <definedName name="_29h_F29">'И~ д.4 к.1 стр.п.11-14 ЖСК Лада'!$D$27</definedName>
    <definedName name="_29h_F30">'И~ д.4 к.1 стр.п.11-14 ЖСК Лада'!$D$28</definedName>
    <definedName name="_29h_F31">'И~ д.4 к.1 стр.п.11-14 ЖСК Лада'!$D$29</definedName>
    <definedName name="_29h_F32">'И~ д.4 к.1 стр.п.11-14 ЖСК Лада'!$D$30</definedName>
    <definedName name="_29h_F33">'И~ д.4 к.1 стр.п.11-14 ЖСК Лада'!$D$31</definedName>
    <definedName name="_29h_F34">'И~ д.4 к.1 стр.п.11-14 ЖСК Лада'!$D$32</definedName>
    <definedName name="_29h_F35">'И~ д.4 к.1 стр.п.11-14 ЖСК Лада'!$D$33</definedName>
    <definedName name="_29h_F36">'И~ д.4 к.1 стр.п.11-14 ЖСК Лада'!$D$34</definedName>
    <definedName name="_29h_F37">'И~ д.4 к.1 стр.п.11-14 ЖСК Лада'!$D$35</definedName>
    <definedName name="_29h_F38">'И~ д.4 к.1 стр.п.11-14 ЖСК Лада'!$D$36</definedName>
    <definedName name="_29h_F39">'И~ д.4 к.1 стр.п.11-14 ЖСК Лада'!$D$37</definedName>
    <definedName name="_29h_F40">'И~ д.4 к.1 стр.п.11-14 ЖСК Лада'!$D$38</definedName>
    <definedName name="_29h_F41">'И~ д.4 к.1 стр.п.11-14 ЖСК Лада'!$D$39</definedName>
    <definedName name="_29h_F42">'И~ д.4 к.1 стр.п.11-14 ЖСК Лада'!$D$40</definedName>
    <definedName name="_29h_F43">'И~ д.4 к.1 стр.п.11-14 ЖСК Лада'!$D$41</definedName>
    <definedName name="_29h_F44">'И~ д.4 к.1 стр.п.11-14 ЖСК Лада'!$D$42</definedName>
    <definedName name="_29h_F45">'И~ д.4 к.1 стр.п.11-14 ЖСК Лада'!$D$43</definedName>
    <definedName name="_29h_F46">'И~ д.4 к.1 стр.п.11-14 ЖСК Лада'!$D$44</definedName>
    <definedName name="_29h_F47">'И~ д.4 к.1 стр.п.11-14 ЖСК Лада'!$D$45</definedName>
    <definedName name="_29h_F48">'И~ д.4 к.1 стр.п.11-14 ЖСК Лада'!$D$46</definedName>
    <definedName name="_29h_F49">'И~ д.4 к.1 стр.п.11-14 ЖСК Лада'!$D$47</definedName>
    <definedName name="_29h_F50">'И~ д.4 к.1 стр.п.11-14 ЖСК Лада'!$D$48</definedName>
    <definedName name="_29h_F51">'И~ д.4 к.1 стр.п.11-14 ЖСК Лада'!$D$49</definedName>
    <definedName name="_29h_F52">'И~ д.4 к.1 стр.п.11-14 ЖСК Лада'!#REF!</definedName>
    <definedName name="_29h_F53">'И~ д.4 к.1 стр.п.11-14 ЖСК Лада'!$D$50</definedName>
    <definedName name="_29h_F54">'И~ д.4 к.1 стр.п.11-14 ЖСК Лада'!$D$51</definedName>
    <definedName name="_29h_F55">'И~ д.4 к.1 стр.п.11-14 ЖСК Лада'!$D$52</definedName>
    <definedName name="_29h_F56">'И~ д.4 к.1 стр.п.11-14 ЖСК Лада'!$D$53</definedName>
    <definedName name="_29h_F57">'И~ д.4 к.1 стр.п.11-14 ЖСК Лада'!$D$54</definedName>
    <definedName name="_29h_F58">'И~ д.4 к.1 стр.п.11-14 ЖСК Лада'!$D$55</definedName>
    <definedName name="_29h_F59">'И~ д.4 к.1 стр.п.11-14 ЖСК Лада'!$D$56</definedName>
    <definedName name="_29h_F60">'И~ д.4 к.1 стр.п.11-14 ЖСК Лада'!$D$57</definedName>
    <definedName name="_29h_F61">'И~ д.4 к.1 стр.п.11-14 ЖСК Лада'!$D$58</definedName>
    <definedName name="_29h_F62">'И~ д.4 к.1 стр.п.11-14 ЖСК Лада'!$D$59</definedName>
    <definedName name="_29h_F63">'И~ д.4 к.1 стр.п.11-14 ЖСК Лада'!#REF!</definedName>
    <definedName name="_29h_F64">'И~ д.4 к.1 стр.п.11-14 ЖСК Лада'!$D$60</definedName>
    <definedName name="_29h_F65">'И~ д.4 к.1 стр.п.11-14 ЖСК Лада'!$D$61</definedName>
    <definedName name="_29h_F7">'И~ д.4 к.1 стр.п.11-14 ЖСК Лада'!$D$5</definedName>
    <definedName name="_29h_F8">'И~ д.4 к.1 стр.п.11-14 ЖСК Лада'!$D$6</definedName>
    <definedName name="_29h_F9">'И~ д.4 к.1 стр.п.11-14 ЖСК Лада'!$D$7</definedName>
    <definedName name="_30h_E10">'И~д.4 к.2 стр.п.5-13'!$C$8</definedName>
    <definedName name="_30h_E11">'И~д.4 к.2 стр.п.5-13'!$C$9</definedName>
    <definedName name="_30h_E12">'И~д.4 к.2 стр.п.5-13'!$C$10</definedName>
    <definedName name="_30h_E13">'И~д.4 к.2 стр.п.5-13'!$C$11</definedName>
    <definedName name="_30h_E14">'И~д.4 к.2 стр.п.5-13'!$C$12</definedName>
    <definedName name="_30h_E15">'И~д.4 к.2 стр.п.5-13'!$C$13</definedName>
    <definedName name="_30h_E16">'И~д.4 к.2 стр.п.5-13'!$C$14</definedName>
    <definedName name="_30h_E17">'И~д.4 к.2 стр.п.5-13'!$C$15</definedName>
    <definedName name="_30h_E18">'И~д.4 к.2 стр.п.5-13'!$C$16</definedName>
    <definedName name="_30h_E19">'И~д.4 к.2 стр.п.5-13'!$C$17</definedName>
    <definedName name="_30h_E20">'И~д.4 к.2 стр.п.5-13'!$C$18</definedName>
    <definedName name="_30h_E21">'И~д.4 к.2 стр.п.5-13'!$C$19</definedName>
    <definedName name="_30h_E22">'И~д.4 к.2 стр.п.5-13'!$C$20</definedName>
    <definedName name="_30h_E23">'И~д.4 к.2 стр.п.5-13'!$C$21</definedName>
    <definedName name="_30h_E24">'И~д.4 к.2 стр.п.5-13'!$C$22</definedName>
    <definedName name="_30h_E25">'И~д.4 к.2 стр.п.5-13'!$C$23</definedName>
    <definedName name="_30h_E26">'И~д.4 к.2 стр.п.5-13'!$C$24</definedName>
    <definedName name="_30h_E27">'И~д.4 к.2 стр.п.5-13'!$C$25</definedName>
    <definedName name="_30h_E28">'И~д.4 к.2 стр.п.5-13'!$C$26</definedName>
    <definedName name="_30h_E29">'И~д.4 к.2 стр.п.5-13'!$C$27</definedName>
    <definedName name="_30h_E30">'И~д.4 к.2 стр.п.5-13'!$C$28</definedName>
    <definedName name="_30h_E31">'И~д.4 к.2 стр.п.5-13'!$C$29</definedName>
    <definedName name="_30h_E32">'И~д.4 к.2 стр.п.5-13'!$C$30</definedName>
    <definedName name="_30h_E33">'И~д.4 к.2 стр.п.5-13'!$C$31</definedName>
    <definedName name="_30h_E34">'И~д.4 к.2 стр.п.5-13'!$C$32</definedName>
    <definedName name="_30h_E35">'И~д.4 к.2 стр.п.5-13'!$C$33</definedName>
    <definedName name="_30h_E36">'И~д.4 к.2 стр.п.5-13'!$C$34</definedName>
    <definedName name="_30h_E37">'И~д.4 к.2 стр.п.5-13'!$C$35</definedName>
    <definedName name="_30h_E38">'И~д.4 к.2 стр.п.5-13'!$C$36</definedName>
    <definedName name="_30h_E39">'И~д.4 к.2 стр.п.5-13'!$C$37</definedName>
    <definedName name="_30h_E40">'И~д.4 к.2 стр.п.5-13'!$C$38</definedName>
    <definedName name="_30h_E41">'И~д.4 к.2 стр.п.5-13'!$C$39</definedName>
    <definedName name="_30h_E42">'И~д.4 к.2 стр.п.5-13'!$C$40</definedName>
    <definedName name="_30h_E43">'И~д.4 к.2 стр.п.5-13'!$C$41</definedName>
    <definedName name="_30h_E44">'И~д.4 к.2 стр.п.5-13'!$C$42</definedName>
    <definedName name="_30h_E45">'И~д.4 к.2 стр.п.5-13'!$C$43</definedName>
    <definedName name="_30h_E46">'И~д.4 к.2 стр.п.5-13'!$C$44</definedName>
    <definedName name="_30h_E47">'И~д.4 к.2 стр.п.5-13'!$C$45</definedName>
    <definedName name="_30h_E48">'И~д.4 к.2 стр.п.5-13'!$C$46</definedName>
    <definedName name="_30h_E49">'И~д.4 к.2 стр.п.5-13'!$C$47</definedName>
    <definedName name="_30h_E50">'И~д.4 к.2 стр.п.5-13'!$C$48</definedName>
    <definedName name="_30h_E51">'И~д.4 к.2 стр.п.5-13'!$C$49</definedName>
    <definedName name="_30h_E52">'И~д.4 к.2 стр.п.5-13'!#REF!</definedName>
    <definedName name="_30h_E53">'И~д.4 к.2 стр.п.5-13'!$C$50</definedName>
    <definedName name="_30h_E54">'И~д.4 к.2 стр.п.5-13'!$C$51</definedName>
    <definedName name="_30h_E55">'И~д.4 к.2 стр.п.5-13'!$C$52</definedName>
    <definedName name="_30h_E56">'И~д.4 к.2 стр.п.5-13'!$C$53</definedName>
    <definedName name="_30h_E57">'И~д.4 к.2 стр.п.5-13'!$C$54</definedName>
    <definedName name="_30h_E58">'И~д.4 к.2 стр.п.5-13'!$C$55</definedName>
    <definedName name="_30h_E59">'И~д.4 к.2 стр.п.5-13'!$C$56</definedName>
    <definedName name="_30h_E60">'И~д.4 к.2 стр.п.5-13'!$C$57</definedName>
    <definedName name="_30h_E61">'И~д.4 к.2 стр.п.5-13'!$C$58</definedName>
    <definedName name="_30h_E62">'И~д.4 к.2 стр.п.5-13'!$C$59</definedName>
    <definedName name="_30h_E63">'И~д.4 к.2 стр.п.5-13'!#REF!</definedName>
    <definedName name="_30h_E64">'И~д.4 к.2 стр.п.5-13'!$C$60</definedName>
    <definedName name="_30h_E65">'И~д.4 к.2 стр.п.5-13'!$C$61</definedName>
    <definedName name="_30h_E7">'И~д.4 к.2 стр.п.5-13'!$C$5</definedName>
    <definedName name="_30h_E8">'И~д.4 к.2 стр.п.5-13'!$C$6</definedName>
    <definedName name="_30h_E9">'И~д.4 к.2 стр.п.5-13'!$C$7</definedName>
    <definedName name="_30h_F10">'И~д.4 к.2 стр.п.5-13'!$D$8</definedName>
    <definedName name="_30h_F11">'И~д.4 к.2 стр.п.5-13'!$D$9</definedName>
    <definedName name="_30h_F12">'И~д.4 к.2 стр.п.5-13'!$D$10</definedName>
    <definedName name="_30h_F13">'И~д.4 к.2 стр.п.5-13'!$D$11</definedName>
    <definedName name="_30h_F14">'И~д.4 к.2 стр.п.5-13'!$D$12</definedName>
    <definedName name="_30h_F15">'И~д.4 к.2 стр.п.5-13'!$D$13</definedName>
    <definedName name="_30h_F16">'И~д.4 к.2 стр.п.5-13'!$D$14</definedName>
    <definedName name="_30h_F17">'И~д.4 к.2 стр.п.5-13'!$D$15</definedName>
    <definedName name="_30h_F18">'И~д.4 к.2 стр.п.5-13'!$D$16</definedName>
    <definedName name="_30h_F19">'И~д.4 к.2 стр.п.5-13'!$D$17</definedName>
    <definedName name="_30h_F20">'И~д.4 к.2 стр.п.5-13'!$D$18</definedName>
    <definedName name="_30h_F21">'И~д.4 к.2 стр.п.5-13'!$D$19</definedName>
    <definedName name="_30h_F22">'И~д.4 к.2 стр.п.5-13'!$D$20</definedName>
    <definedName name="_30h_F23">'И~д.4 к.2 стр.п.5-13'!$D$21</definedName>
    <definedName name="_30h_F24">'И~д.4 к.2 стр.п.5-13'!$D$22</definedName>
    <definedName name="_30h_F25">'И~д.4 к.2 стр.п.5-13'!$D$23</definedName>
    <definedName name="_30h_F26">'И~д.4 к.2 стр.п.5-13'!$D$24</definedName>
    <definedName name="_30h_F27">'И~д.4 к.2 стр.п.5-13'!$D$25</definedName>
    <definedName name="_30h_F28">'И~д.4 к.2 стр.п.5-13'!$D$26</definedName>
    <definedName name="_30h_F29">'И~д.4 к.2 стр.п.5-13'!$D$27</definedName>
    <definedName name="_30h_F30">'И~д.4 к.2 стр.п.5-13'!$D$28</definedName>
    <definedName name="_30h_F31">'И~д.4 к.2 стр.п.5-13'!$D$29</definedName>
    <definedName name="_30h_F32">'И~д.4 к.2 стр.п.5-13'!$D$30</definedName>
    <definedName name="_30h_F33">'И~д.4 к.2 стр.п.5-13'!$D$31</definedName>
    <definedName name="_30h_F34">'И~д.4 к.2 стр.п.5-13'!$D$32</definedName>
    <definedName name="_30h_F35">'И~д.4 к.2 стр.п.5-13'!$D$33</definedName>
    <definedName name="_30h_F36">'И~д.4 к.2 стр.п.5-13'!$D$34</definedName>
    <definedName name="_30h_F37">'И~д.4 к.2 стр.п.5-13'!$D$35</definedName>
    <definedName name="_30h_F38">'И~д.4 к.2 стр.п.5-13'!$D$36</definedName>
    <definedName name="_30h_F39">'И~д.4 к.2 стр.п.5-13'!$D$37</definedName>
    <definedName name="_30h_F40">'И~д.4 к.2 стр.п.5-13'!$D$38</definedName>
    <definedName name="_30h_F41">'И~д.4 к.2 стр.п.5-13'!$D$39</definedName>
    <definedName name="_30h_F42">'И~д.4 к.2 стр.п.5-13'!$D$40</definedName>
    <definedName name="_30h_F43">'И~д.4 к.2 стр.п.5-13'!$D$41</definedName>
    <definedName name="_30h_F44">'И~д.4 к.2 стр.п.5-13'!$D$42</definedName>
    <definedName name="_30h_F45">'И~д.4 к.2 стр.п.5-13'!$D$43</definedName>
    <definedName name="_30h_F46">'И~д.4 к.2 стр.п.5-13'!$D$44</definedName>
    <definedName name="_30h_F47">'И~д.4 к.2 стр.п.5-13'!$D$45</definedName>
    <definedName name="_30h_F48">'И~д.4 к.2 стр.п.5-13'!$D$46</definedName>
    <definedName name="_30h_F49">'И~д.4 к.2 стр.п.5-13'!$D$47</definedName>
    <definedName name="_30h_F50">'И~д.4 к.2 стр.п.5-13'!$D$48</definedName>
    <definedName name="_30h_F51">'И~д.4 к.2 стр.п.5-13'!$D$49</definedName>
    <definedName name="_30h_F52">'И~д.4 к.2 стр.п.5-13'!#REF!</definedName>
    <definedName name="_30h_F53">'И~д.4 к.2 стр.п.5-13'!$D$50</definedName>
    <definedName name="_30h_F54">'И~д.4 к.2 стр.п.5-13'!$D$51</definedName>
    <definedName name="_30h_F55">'И~д.4 к.2 стр.п.5-13'!$D$52</definedName>
    <definedName name="_30h_F56">'И~д.4 к.2 стр.п.5-13'!$D$53</definedName>
    <definedName name="_30h_F57">'И~д.4 к.2 стр.п.5-13'!$D$54</definedName>
    <definedName name="_30h_F58">'И~д.4 к.2 стр.п.5-13'!$D$55</definedName>
    <definedName name="_30h_F59">'И~д.4 к.2 стр.п.5-13'!$D$56</definedName>
    <definedName name="_30h_F60">'И~д.4 к.2 стр.п.5-13'!$D$57</definedName>
    <definedName name="_30h_F61">'И~д.4 к.2 стр.п.5-13'!$D$58</definedName>
    <definedName name="_30h_F62">'И~д.4 к.2 стр.п.5-13'!$D$59</definedName>
    <definedName name="_30h_F63">'И~д.4 к.2 стр.п.5-13'!#REF!</definedName>
    <definedName name="_30h_F64">'И~д.4 к.2 стр.п.5-13'!$D$60</definedName>
    <definedName name="_30h_F65">'И~д.4 к.2 стр.п.5-13'!$D$61</definedName>
    <definedName name="_30h_F7">'И~д.4 к.2 стр.п.5-13'!$D$5</definedName>
    <definedName name="_30h_F8">'И~д.4 к.2 стр.п.5-13'!$D$6</definedName>
    <definedName name="_30h_F9">'И~д.4 к.2 стр.п.5-13'!$D$7</definedName>
    <definedName name="_31h_E10">'Инессы Арманд д.7'!$C$8</definedName>
    <definedName name="_31h_E11">'Инессы Арманд д.7'!$C$9</definedName>
    <definedName name="_31h_E12">'Инессы Арманд д.7'!$C$10</definedName>
    <definedName name="_31h_E13">'Инессы Арманд д.7'!$C$11</definedName>
    <definedName name="_31h_E14">'Инессы Арманд д.7'!$C$12</definedName>
    <definedName name="_31h_E15">'Инессы Арманд д.7'!$C$13</definedName>
    <definedName name="_31h_E16">'Инессы Арманд д.7'!$C$14</definedName>
    <definedName name="_31h_E17">'Инессы Арманд д.7'!$C$15</definedName>
    <definedName name="_31h_E18">'Инессы Арманд д.7'!$C$16</definedName>
    <definedName name="_31h_E19">'Инессы Арманд д.7'!$C$17</definedName>
    <definedName name="_31h_E20">'Инессы Арманд д.7'!$C$18</definedName>
    <definedName name="_31h_E21">'Инессы Арманд д.7'!$C$19</definedName>
    <definedName name="_31h_E22">'Инессы Арманд д.7'!$C$20</definedName>
    <definedName name="_31h_E23">'Инессы Арманд д.7'!$C$21</definedName>
    <definedName name="_31h_E24">'Инессы Арманд д.7'!$C$22</definedName>
    <definedName name="_31h_E25">'Инессы Арманд д.7'!$C$23</definedName>
    <definedName name="_31h_E26">'Инессы Арманд д.7'!$C$24</definedName>
    <definedName name="_31h_E27">'Инессы Арманд д.7'!$C$25</definedName>
    <definedName name="_31h_E28">'Инессы Арманд д.7'!$C$26</definedName>
    <definedName name="_31h_E29">'Инессы Арманд д.7'!$C$27</definedName>
    <definedName name="_31h_E30">'Инессы Арманд д.7'!$C$28</definedName>
    <definedName name="_31h_E31">'Инессы Арманд д.7'!$C$29</definedName>
    <definedName name="_31h_E32">'Инессы Арманд д.7'!$C$30</definedName>
    <definedName name="_31h_E33">'Инессы Арманд д.7'!$C$31</definedName>
    <definedName name="_31h_E34">'Инессы Арманд д.7'!$C$32</definedName>
    <definedName name="_31h_E35">'Инессы Арманд д.7'!$C$33</definedName>
    <definedName name="_31h_E36">'Инессы Арманд д.7'!$C$34</definedName>
    <definedName name="_31h_E37">'Инессы Арманд д.7'!$C$35</definedName>
    <definedName name="_31h_E38">'Инессы Арманд д.7'!$C$36</definedName>
    <definedName name="_31h_E39">'Инессы Арманд д.7'!$C$37</definedName>
    <definedName name="_31h_E40">'Инессы Арманд д.7'!$C$38</definedName>
    <definedName name="_31h_E41">'Инессы Арманд д.7'!$C$39</definedName>
    <definedName name="_31h_E42">'Инессы Арманд д.7'!$C$40</definedName>
    <definedName name="_31h_E43">'Инессы Арманд д.7'!$C$41</definedName>
    <definedName name="_31h_E44">'Инессы Арманд д.7'!$C$42</definedName>
    <definedName name="_31h_E45">'Инессы Арманд д.7'!$C$43</definedName>
    <definedName name="_31h_E46">'Инессы Арманд д.7'!$C$44</definedName>
    <definedName name="_31h_E47">'Инессы Арманд д.7'!$C$45</definedName>
    <definedName name="_31h_E48">'Инессы Арманд д.7'!$C$46</definedName>
    <definedName name="_31h_E49">'Инессы Арманд д.7'!$C$47</definedName>
    <definedName name="_31h_E50">'Инессы Арманд д.7'!$C$48</definedName>
    <definedName name="_31h_E51">'Инессы Арманд д.7'!$C$49</definedName>
    <definedName name="_31h_E52">'Инессы Арманд д.7'!#REF!</definedName>
    <definedName name="_31h_E53">'Инессы Арманд д.7'!$C$50</definedName>
    <definedName name="_31h_E54">'Инессы Арманд д.7'!$C$51</definedName>
    <definedName name="_31h_E55">'Инессы Арманд д.7'!$C$52</definedName>
    <definedName name="_31h_E56">'Инессы Арманд д.7'!$C$53</definedName>
    <definedName name="_31h_E57">'Инессы Арманд д.7'!$C$54</definedName>
    <definedName name="_31h_E58">'Инессы Арманд д.7'!$C$55</definedName>
    <definedName name="_31h_E59">'Инессы Арманд д.7'!$C$56</definedName>
    <definedName name="_31h_E60">'Инессы Арманд д.7'!$C$57</definedName>
    <definedName name="_31h_E61">'Инессы Арманд д.7'!$C$58</definedName>
    <definedName name="_31h_E62">'Инессы Арманд д.7'!$C$59</definedName>
    <definedName name="_31h_E63">'Инессы Арманд д.7'!#REF!</definedName>
    <definedName name="_31h_E64">'Инессы Арманд д.7'!$C$60</definedName>
    <definedName name="_31h_E65">'Инессы Арманд д.7'!$C$61</definedName>
    <definedName name="_31h_E7">'Инессы Арманд д.7'!$C$5</definedName>
    <definedName name="_31h_E8">'Инессы Арманд д.7'!$C$6</definedName>
    <definedName name="_31h_E9">'Инессы Арманд д.7'!$C$7</definedName>
    <definedName name="_31h_F10">'Инессы Арманд д.7'!$D$8</definedName>
    <definedName name="_31h_F11">'Инессы Арманд д.7'!$D$9</definedName>
    <definedName name="_31h_F12">'Инессы Арманд д.7'!$D$10</definedName>
    <definedName name="_31h_F13">'Инессы Арманд д.7'!$D$11</definedName>
    <definedName name="_31h_F14">'Инессы Арманд д.7'!$D$12</definedName>
    <definedName name="_31h_F15">'Инессы Арманд д.7'!$D$13</definedName>
    <definedName name="_31h_F16">'Инессы Арманд д.7'!$D$14</definedName>
    <definedName name="_31h_F17">'Инессы Арманд д.7'!$D$15</definedName>
    <definedName name="_31h_F18">'Инессы Арманд д.7'!$D$16</definedName>
    <definedName name="_31h_F19">'Инессы Арманд д.7'!$D$17</definedName>
    <definedName name="_31h_F20">'Инессы Арманд д.7'!$D$18</definedName>
    <definedName name="_31h_F21">'Инессы Арманд д.7'!$D$19</definedName>
    <definedName name="_31h_F22">'Инессы Арманд д.7'!$D$20</definedName>
    <definedName name="_31h_F23">'Инессы Арманд д.7'!$D$21</definedName>
    <definedName name="_31h_F24">'Инессы Арманд д.7'!$D$22</definedName>
    <definedName name="_31h_F25">'Инессы Арманд д.7'!$D$23</definedName>
    <definedName name="_31h_F26">'Инессы Арманд д.7'!$D$24</definedName>
    <definedName name="_31h_F27">'Инессы Арманд д.7'!$D$25</definedName>
    <definedName name="_31h_F28">'Инессы Арманд д.7'!$D$26</definedName>
    <definedName name="_31h_F29">'Инессы Арманд д.7'!$D$27</definedName>
    <definedName name="_31h_F30">'Инессы Арманд д.7'!$D$28</definedName>
    <definedName name="_31h_F31">'Инессы Арманд д.7'!$D$29</definedName>
    <definedName name="_31h_F32">'Инессы Арманд д.7'!$D$30</definedName>
    <definedName name="_31h_F33">'Инессы Арманд д.7'!$D$31</definedName>
    <definedName name="_31h_F34">'Инессы Арманд д.7'!$D$32</definedName>
    <definedName name="_31h_F35">'Инессы Арманд д.7'!$D$33</definedName>
    <definedName name="_31h_F36">'Инессы Арманд д.7'!$D$34</definedName>
    <definedName name="_31h_F37">'Инессы Арманд д.7'!$D$35</definedName>
    <definedName name="_31h_F38">'Инессы Арманд д.7'!$D$36</definedName>
    <definedName name="_31h_F39">'Инессы Арманд д.7'!$D$37</definedName>
    <definedName name="_31h_F40">'Инессы Арманд д.7'!$D$38</definedName>
    <definedName name="_31h_F41">'Инессы Арманд д.7'!$D$39</definedName>
    <definedName name="_31h_F42">'Инессы Арманд д.7'!$D$40</definedName>
    <definedName name="_31h_F43">'Инессы Арманд д.7'!$D$41</definedName>
    <definedName name="_31h_F44">'Инессы Арманд д.7'!$D$42</definedName>
    <definedName name="_31h_F45">'Инессы Арманд д.7'!$D$43</definedName>
    <definedName name="_31h_F46">'Инессы Арманд д.7'!$D$44</definedName>
    <definedName name="_31h_F47">'Инессы Арманд д.7'!$D$45</definedName>
    <definedName name="_31h_F48">'Инессы Арманд д.7'!$D$46</definedName>
    <definedName name="_31h_F49">'Инессы Арманд д.7'!$D$47</definedName>
    <definedName name="_31h_F50">'Инессы Арманд д.7'!$D$48</definedName>
    <definedName name="_31h_F51">'Инессы Арманд д.7'!$D$49</definedName>
    <definedName name="_31h_F52">'Инессы Арманд д.7'!#REF!</definedName>
    <definedName name="_31h_F53">'Инессы Арманд д.7'!$D$50</definedName>
    <definedName name="_31h_F54">'Инессы Арманд д.7'!$D$51</definedName>
    <definedName name="_31h_F55">'Инессы Арманд д.7'!$D$52</definedName>
    <definedName name="_31h_F56">'Инессы Арманд д.7'!$D$53</definedName>
    <definedName name="_31h_F57">'Инессы Арманд д.7'!$D$54</definedName>
    <definedName name="_31h_F58">'Инессы Арманд д.7'!$D$55</definedName>
    <definedName name="_31h_F59">'Инессы Арманд д.7'!$D$56</definedName>
    <definedName name="_31h_F60">'Инессы Арманд д.7'!$D$57</definedName>
    <definedName name="_31h_F61">'Инессы Арманд д.7'!$D$58</definedName>
    <definedName name="_31h_F62">'Инессы Арманд д.7'!$D$59</definedName>
    <definedName name="_31h_F63">'Инессы Арманд д.7'!#REF!</definedName>
    <definedName name="_31h_F64">'Инессы Арманд д.7'!$D$60</definedName>
    <definedName name="_31h_F65">'Инессы Арманд д.7'!$D$61</definedName>
    <definedName name="_31h_F7">'Инессы Арманд д.7'!$D$5</definedName>
    <definedName name="_31h_F8">'Инессы Арманд д.7'!$D$6</definedName>
    <definedName name="_31h_F9">'Инессы Арманд д.7'!$D$7</definedName>
    <definedName name="_32h_E10">'Инессы Арманд д.8|17'!$C$8</definedName>
    <definedName name="_32h_E11">'Инессы Арманд д.8|17'!$C$9</definedName>
    <definedName name="_32h_E12">'Инессы Арманд д.8|17'!$C$10</definedName>
    <definedName name="_32h_E13">'Инессы Арманд д.8|17'!$C$11</definedName>
    <definedName name="_32h_E14">'Инессы Арманд д.8|17'!$C$12</definedName>
    <definedName name="_32h_E15">'Инессы Арманд д.8|17'!$C$13</definedName>
    <definedName name="_32h_E16">'Инессы Арманд д.8|17'!$C$14</definedName>
    <definedName name="_32h_E17">'Инессы Арманд д.8|17'!$C$15</definedName>
    <definedName name="_32h_E18">'Инессы Арманд д.8|17'!$C$16</definedName>
    <definedName name="_32h_E19">'Инессы Арманд д.8|17'!$C$17</definedName>
    <definedName name="_32h_E20">'Инессы Арманд д.8|17'!$C$18</definedName>
    <definedName name="_32h_E21">'Инессы Арманд д.8|17'!$C$19</definedName>
    <definedName name="_32h_E22">'Инессы Арманд д.8|17'!$C$20</definedName>
    <definedName name="_32h_E23">'Инессы Арманд д.8|17'!$C$21</definedName>
    <definedName name="_32h_E24">'Инессы Арманд д.8|17'!$C$22</definedName>
    <definedName name="_32h_E25">'Инессы Арманд д.8|17'!$C$23</definedName>
    <definedName name="_32h_E26">'Инессы Арманд д.8|17'!$C$24</definedName>
    <definedName name="_32h_E27">'Инессы Арманд д.8|17'!$C$25</definedName>
    <definedName name="_32h_E28">'Инессы Арманд д.8|17'!$C$26</definedName>
    <definedName name="_32h_E29">'Инессы Арманд д.8|17'!$C$27</definedName>
    <definedName name="_32h_E30">'Инессы Арманд д.8|17'!$C$28</definedName>
    <definedName name="_32h_E31">'Инессы Арманд д.8|17'!$C$29</definedName>
    <definedName name="_32h_E32">'Инессы Арманд д.8|17'!$C$30</definedName>
    <definedName name="_32h_E33">'Инессы Арманд д.8|17'!$C$31</definedName>
    <definedName name="_32h_E34">'Инессы Арманд д.8|17'!$C$32</definedName>
    <definedName name="_32h_E35">'Инессы Арманд д.8|17'!$C$33</definedName>
    <definedName name="_32h_E36">'Инессы Арманд д.8|17'!$C$34</definedName>
    <definedName name="_32h_E37">'Инессы Арманд д.8|17'!$C$35</definedName>
    <definedName name="_32h_E38">'Инессы Арманд д.8|17'!$C$36</definedName>
    <definedName name="_32h_E39">'Инессы Арманд д.8|17'!$C$37</definedName>
    <definedName name="_32h_E40">'Инессы Арманд д.8|17'!$C$38</definedName>
    <definedName name="_32h_E41">'Инессы Арманд д.8|17'!$C$39</definedName>
    <definedName name="_32h_E42">'Инессы Арманд д.8|17'!$C$40</definedName>
    <definedName name="_32h_E43">'Инессы Арманд д.8|17'!$C$41</definedName>
    <definedName name="_32h_E44">'Инессы Арманд д.8|17'!$C$42</definedName>
    <definedName name="_32h_E45">'Инессы Арманд д.8|17'!$C$43</definedName>
    <definedName name="_32h_E46">'Инессы Арманд д.8|17'!$C$44</definedName>
    <definedName name="_32h_E47">'Инессы Арманд д.8|17'!$C$45</definedName>
    <definedName name="_32h_E48">'Инессы Арманд д.8|17'!$C$46</definedName>
    <definedName name="_32h_E49">'Инессы Арманд д.8|17'!$C$47</definedName>
    <definedName name="_32h_E50">'Инессы Арманд д.8|17'!$C$48</definedName>
    <definedName name="_32h_E51">'Инессы Арманд д.8|17'!$C$49</definedName>
    <definedName name="_32h_E52">'Инессы Арманд д.8|17'!#REF!</definedName>
    <definedName name="_32h_E53">'Инессы Арманд д.8|17'!$C$50</definedName>
    <definedName name="_32h_E54">'Инессы Арманд д.8|17'!$C$51</definedName>
    <definedName name="_32h_E55">'Инессы Арманд д.8|17'!$C$52</definedName>
    <definedName name="_32h_E56">'Инессы Арманд д.8|17'!$C$53</definedName>
    <definedName name="_32h_E57">'Инессы Арманд д.8|17'!$C$54</definedName>
    <definedName name="_32h_E58">'Инессы Арманд д.8|17'!$C$55</definedName>
    <definedName name="_32h_E59">'Инессы Арманд д.8|17'!$C$56</definedName>
    <definedName name="_32h_E60">'Инессы Арманд д.8|17'!$C$57</definedName>
    <definedName name="_32h_E61">'Инессы Арманд д.8|17'!$C$58</definedName>
    <definedName name="_32h_E62">'Инессы Арманд д.8|17'!$C$59</definedName>
    <definedName name="_32h_E63">'Инессы Арманд д.8|17'!#REF!</definedName>
    <definedName name="_32h_E64">'Инессы Арманд д.8|17'!$C$60</definedName>
    <definedName name="_32h_E65">'Инессы Арманд д.8|17'!$C$61</definedName>
    <definedName name="_32h_E7">'Инессы Арманд д.8|17'!$C$5</definedName>
    <definedName name="_32h_E8">'Инессы Арманд д.8|17'!$C$6</definedName>
    <definedName name="_32h_E9">'Инессы Арманд д.8|17'!$C$7</definedName>
    <definedName name="_32h_F10">'Инессы Арманд д.8|17'!$D$8</definedName>
    <definedName name="_32h_F11">'Инессы Арманд д.8|17'!$D$9</definedName>
    <definedName name="_32h_F12">'Инессы Арманд д.8|17'!$D$10</definedName>
    <definedName name="_32h_F13">'Инессы Арманд д.8|17'!$D$11</definedName>
    <definedName name="_32h_F14">'Инессы Арманд д.8|17'!$D$12</definedName>
    <definedName name="_32h_F15">'Инессы Арманд д.8|17'!$D$13</definedName>
    <definedName name="_32h_F16">'Инессы Арманд д.8|17'!$D$14</definedName>
    <definedName name="_32h_F17">'Инессы Арманд д.8|17'!$D$15</definedName>
    <definedName name="_32h_F18">'Инессы Арманд д.8|17'!$D$16</definedName>
    <definedName name="_32h_F19">'Инессы Арманд д.8|17'!$D$17</definedName>
    <definedName name="_32h_F20">'Инессы Арманд д.8|17'!$D$18</definedName>
    <definedName name="_32h_F21">'Инессы Арманд д.8|17'!$D$19</definedName>
    <definedName name="_32h_F22">'Инессы Арманд д.8|17'!$D$20</definedName>
    <definedName name="_32h_F23">'Инессы Арманд д.8|17'!$D$21</definedName>
    <definedName name="_32h_F24">'Инессы Арманд д.8|17'!$D$22</definedName>
    <definedName name="_32h_F25">'Инессы Арманд д.8|17'!$D$23</definedName>
    <definedName name="_32h_F26">'Инессы Арманд д.8|17'!$D$24</definedName>
    <definedName name="_32h_F27">'Инессы Арманд д.8|17'!$D$25</definedName>
    <definedName name="_32h_F28">'Инессы Арманд д.8|17'!$D$26</definedName>
    <definedName name="_32h_F29">'Инессы Арманд д.8|17'!$D$27</definedName>
    <definedName name="_32h_F30">'Инессы Арманд д.8|17'!$D$28</definedName>
    <definedName name="_32h_F31">'Инессы Арманд д.8|17'!$D$29</definedName>
    <definedName name="_32h_F32">'Инессы Арманд д.8|17'!$D$30</definedName>
    <definedName name="_32h_F33">'Инессы Арманд д.8|17'!$D$31</definedName>
    <definedName name="_32h_F34">'Инессы Арманд д.8|17'!$D$32</definedName>
    <definedName name="_32h_F35">'Инессы Арманд д.8|17'!$D$33</definedName>
    <definedName name="_32h_F36">'Инессы Арманд д.8|17'!$D$34</definedName>
    <definedName name="_32h_F37">'Инессы Арманд д.8|17'!$D$35</definedName>
    <definedName name="_32h_F38">'Инессы Арманд д.8|17'!$D$36</definedName>
    <definedName name="_32h_F39">'Инессы Арманд д.8|17'!$D$37</definedName>
    <definedName name="_32h_F40">'Инессы Арманд д.8|17'!$D$38</definedName>
    <definedName name="_32h_F41">'Инессы Арманд д.8|17'!$D$39</definedName>
    <definedName name="_32h_F42">'Инессы Арманд д.8|17'!$D$40</definedName>
    <definedName name="_32h_F43">'Инессы Арманд д.8|17'!$D$41</definedName>
    <definedName name="_32h_F44">'Инессы Арманд д.8|17'!$D$42</definedName>
    <definedName name="_32h_F45">'Инессы Арманд д.8|17'!$D$43</definedName>
    <definedName name="_32h_F46">'Инессы Арманд д.8|17'!$D$44</definedName>
    <definedName name="_32h_F47">'Инессы Арманд д.8|17'!$D$45</definedName>
    <definedName name="_32h_F48">'Инессы Арманд д.8|17'!$D$46</definedName>
    <definedName name="_32h_F49">'Инессы Арманд д.8|17'!$D$47</definedName>
    <definedName name="_32h_F50">'Инессы Арманд д.8|17'!$D$48</definedName>
    <definedName name="_32h_F51">'Инессы Арманд д.8|17'!$D$49</definedName>
    <definedName name="_32h_F52">'Инессы Арманд д.8|17'!#REF!</definedName>
    <definedName name="_32h_F53">'Инессы Арманд д.8|17'!$D$50</definedName>
    <definedName name="_32h_F54">'Инессы Арманд д.8|17'!$D$51</definedName>
    <definedName name="_32h_F55">'Инессы Арманд д.8|17'!$D$52</definedName>
    <definedName name="_32h_F56">'Инессы Арманд д.8|17'!$D$53</definedName>
    <definedName name="_32h_F57">'Инессы Арманд д.8|17'!$D$54</definedName>
    <definedName name="_32h_F58">'Инессы Арманд д.8|17'!$D$55</definedName>
    <definedName name="_32h_F59">'Инессы Арманд д.8|17'!$D$56</definedName>
    <definedName name="_32h_F60">'Инессы Арманд д.8|17'!$D$57</definedName>
    <definedName name="_32h_F61">'Инессы Арманд д.8|17'!$D$58</definedName>
    <definedName name="_32h_F62">'Инессы Арманд д.8|17'!$D$59</definedName>
    <definedName name="_32h_F63">'Инессы Арманд д.8|17'!#REF!</definedName>
    <definedName name="_32h_F64">'Инессы Арманд д.8|17'!$D$60</definedName>
    <definedName name="_32h_F65">'Инессы Арманд д.8|17'!$D$61</definedName>
    <definedName name="_32h_F7">'Инессы Арманд д.8|17'!$D$5</definedName>
    <definedName name="_32h_F8">'Инессы Арманд д.8|17'!$D$6</definedName>
    <definedName name="_32h_F9">'Инессы Арманд д.8|17'!$D$7</definedName>
    <definedName name="_33h_E10">'Инессы Арманд д.11'!$C$8</definedName>
    <definedName name="_33h_E11">'Инессы Арманд д.11'!$C$9</definedName>
    <definedName name="_33h_E12">'Инессы Арманд д.11'!$C$10</definedName>
    <definedName name="_33h_E13">'Инессы Арманд д.11'!$C$11</definedName>
    <definedName name="_33h_E14">'Инессы Арманд д.11'!$C$12</definedName>
    <definedName name="_33h_E15">'Инессы Арманд д.11'!$C$13</definedName>
    <definedName name="_33h_E16">'Инессы Арманд д.11'!$C$14</definedName>
    <definedName name="_33h_E17">'Инессы Арманд д.11'!$C$15</definedName>
    <definedName name="_33h_E18">'Инессы Арманд д.11'!$C$16</definedName>
    <definedName name="_33h_E19">'Инессы Арманд д.11'!$C$17</definedName>
    <definedName name="_33h_E20">'Инессы Арманд д.11'!$C$18</definedName>
    <definedName name="_33h_E21">'Инессы Арманд д.11'!$C$19</definedName>
    <definedName name="_33h_E22">'Инессы Арманд д.11'!$C$20</definedName>
    <definedName name="_33h_E23">'Инессы Арманд д.11'!$C$21</definedName>
    <definedName name="_33h_E24">'Инессы Арманд д.11'!$C$22</definedName>
    <definedName name="_33h_E25">'Инессы Арманд д.11'!$C$23</definedName>
    <definedName name="_33h_E26">'Инессы Арманд д.11'!$C$24</definedName>
    <definedName name="_33h_E27">'Инессы Арманд д.11'!$C$25</definedName>
    <definedName name="_33h_E28">'Инессы Арманд д.11'!$C$26</definedName>
    <definedName name="_33h_E29">'Инессы Арманд д.11'!$C$27</definedName>
    <definedName name="_33h_E30">'Инессы Арманд д.11'!$C$28</definedName>
    <definedName name="_33h_E31">'Инессы Арманд д.11'!$C$29</definedName>
    <definedName name="_33h_E32">'Инессы Арманд д.11'!$C$30</definedName>
    <definedName name="_33h_E33">'Инессы Арманд д.11'!$C$31</definedName>
    <definedName name="_33h_E34">'Инессы Арманд д.11'!$C$32</definedName>
    <definedName name="_33h_E35">'Инессы Арманд д.11'!$C$33</definedName>
    <definedName name="_33h_E36">'Инессы Арманд д.11'!$C$34</definedName>
    <definedName name="_33h_E37">'Инессы Арманд д.11'!$C$35</definedName>
    <definedName name="_33h_E38">'Инессы Арманд д.11'!$C$36</definedName>
    <definedName name="_33h_E39">'Инессы Арманд д.11'!$C$37</definedName>
    <definedName name="_33h_E40">'Инессы Арманд д.11'!$C$38</definedName>
    <definedName name="_33h_E41">'Инессы Арманд д.11'!$C$39</definedName>
    <definedName name="_33h_E42">'Инессы Арманд д.11'!$C$40</definedName>
    <definedName name="_33h_E43">'Инессы Арманд д.11'!$C$41</definedName>
    <definedName name="_33h_E44">'Инессы Арманд д.11'!$C$42</definedName>
    <definedName name="_33h_E45">'Инессы Арманд д.11'!$C$43</definedName>
    <definedName name="_33h_E46">'Инессы Арманд д.11'!$C$44</definedName>
    <definedName name="_33h_E47">'Инессы Арманд д.11'!$C$45</definedName>
    <definedName name="_33h_E48">'Инессы Арманд д.11'!$C$46</definedName>
    <definedName name="_33h_E49">'Инессы Арманд д.11'!$C$47</definedName>
    <definedName name="_33h_E50">'Инессы Арманд д.11'!$C$48</definedName>
    <definedName name="_33h_E51">'Инессы Арманд д.11'!$C$49</definedName>
    <definedName name="_33h_E52">'Инессы Арманд д.11'!#REF!</definedName>
    <definedName name="_33h_E53">'Инессы Арманд д.11'!$C$50</definedName>
    <definedName name="_33h_E54">'Инессы Арманд д.11'!$C$51</definedName>
    <definedName name="_33h_E55">'Инессы Арманд д.11'!$C$52</definedName>
    <definedName name="_33h_E56">'Инессы Арманд д.11'!$C$53</definedName>
    <definedName name="_33h_E57">'Инессы Арманд д.11'!$C$54</definedName>
    <definedName name="_33h_E58">'Инессы Арманд д.11'!$C$55</definedName>
    <definedName name="_33h_E59">'Инессы Арманд д.11'!$C$56</definedName>
    <definedName name="_33h_E60">'Инессы Арманд д.11'!$C$57</definedName>
    <definedName name="_33h_E61">'Инессы Арманд д.11'!$C$58</definedName>
    <definedName name="_33h_E62">'Инессы Арманд д.11'!$C$59</definedName>
    <definedName name="_33h_E63">'Инессы Арманд д.11'!#REF!</definedName>
    <definedName name="_33h_E64">'Инессы Арманд д.11'!$C$60</definedName>
    <definedName name="_33h_E65">'Инессы Арманд д.11'!$C$61</definedName>
    <definedName name="_33h_E7">'Инессы Арманд д.11'!$C$5</definedName>
    <definedName name="_33h_E8">'Инессы Арманд д.11'!$C$6</definedName>
    <definedName name="_33h_E9">'Инессы Арманд д.11'!$C$7</definedName>
    <definedName name="_33h_F10">'Инессы Арманд д.11'!$D$8</definedName>
    <definedName name="_33h_F11">'Инессы Арманд д.11'!$D$9</definedName>
    <definedName name="_33h_F12">'Инессы Арманд д.11'!$D$10</definedName>
    <definedName name="_33h_F13">'Инессы Арманд д.11'!$D$11</definedName>
    <definedName name="_33h_F14">'Инессы Арманд д.11'!$D$12</definedName>
    <definedName name="_33h_F15">'Инессы Арманд д.11'!$D$13</definedName>
    <definedName name="_33h_F16">'Инессы Арманд д.11'!$D$14</definedName>
    <definedName name="_33h_F17">'Инессы Арманд д.11'!$D$15</definedName>
    <definedName name="_33h_F18">'Инессы Арманд д.11'!$D$16</definedName>
    <definedName name="_33h_F19">'Инессы Арманд д.11'!$D$17</definedName>
    <definedName name="_33h_F20">'Инессы Арманд д.11'!$D$18</definedName>
    <definedName name="_33h_F21">'Инессы Арманд д.11'!$D$19</definedName>
    <definedName name="_33h_F22">'Инессы Арманд д.11'!$D$20</definedName>
    <definedName name="_33h_F23">'Инессы Арманд д.11'!$D$21</definedName>
    <definedName name="_33h_F24">'Инессы Арманд д.11'!$D$22</definedName>
    <definedName name="_33h_F25">'Инессы Арманд д.11'!$D$23</definedName>
    <definedName name="_33h_F26">'Инессы Арманд д.11'!$D$24</definedName>
    <definedName name="_33h_F27">'Инессы Арманд д.11'!$D$25</definedName>
    <definedName name="_33h_F28">'Инессы Арманд д.11'!$D$26</definedName>
    <definedName name="_33h_F29">'Инессы Арманд д.11'!$D$27</definedName>
    <definedName name="_33h_F30">'Инессы Арманд д.11'!$D$28</definedName>
    <definedName name="_33h_F31">'Инессы Арманд д.11'!$D$29</definedName>
    <definedName name="_33h_F32">'Инессы Арманд д.11'!$D$30</definedName>
    <definedName name="_33h_F33">'Инессы Арманд д.11'!$D$31</definedName>
    <definedName name="_33h_F34">'Инессы Арманд д.11'!$D$32</definedName>
    <definedName name="_33h_F35">'Инессы Арманд д.11'!$D$33</definedName>
    <definedName name="_33h_F36">'Инессы Арманд д.11'!$D$34</definedName>
    <definedName name="_33h_F37">'Инессы Арманд д.11'!$D$35</definedName>
    <definedName name="_33h_F38">'Инессы Арманд д.11'!$D$36</definedName>
    <definedName name="_33h_F39">'Инессы Арманд д.11'!$D$37</definedName>
    <definedName name="_33h_F40">'Инессы Арманд д.11'!$D$38</definedName>
    <definedName name="_33h_F41">'Инессы Арманд д.11'!$D$39</definedName>
    <definedName name="_33h_F42">'Инессы Арманд д.11'!$D$40</definedName>
    <definedName name="_33h_F43">'Инессы Арманд д.11'!$D$41</definedName>
    <definedName name="_33h_F44">'Инессы Арманд д.11'!$D$42</definedName>
    <definedName name="_33h_F45">'Инессы Арманд д.11'!$D$43</definedName>
    <definedName name="_33h_F46">'Инессы Арманд д.11'!$D$44</definedName>
    <definedName name="_33h_F47">'Инессы Арманд д.11'!$D$45</definedName>
    <definedName name="_33h_F48">'Инессы Арманд д.11'!$D$46</definedName>
    <definedName name="_33h_F49">'Инессы Арманд д.11'!$D$47</definedName>
    <definedName name="_33h_F50">'Инессы Арманд д.11'!$D$48</definedName>
    <definedName name="_33h_F51">'Инессы Арманд д.11'!$D$49</definedName>
    <definedName name="_33h_F52">'Инессы Арманд д.11'!#REF!</definedName>
    <definedName name="_33h_F53">'Инессы Арманд д.11'!$D$50</definedName>
    <definedName name="_33h_F54">'Инессы Арманд д.11'!$D$51</definedName>
    <definedName name="_33h_F55">'Инессы Арманд д.11'!$D$52</definedName>
    <definedName name="_33h_F56">'Инессы Арманд д.11'!$D$53</definedName>
    <definedName name="_33h_F57">'Инессы Арманд д.11'!$D$54</definedName>
    <definedName name="_33h_F58">'Инессы Арманд д.11'!$D$55</definedName>
    <definedName name="_33h_F59">'Инессы Арманд д.11'!$D$56</definedName>
    <definedName name="_33h_F60">'Инессы Арманд д.11'!$D$57</definedName>
    <definedName name="_33h_F61">'Инессы Арманд д.11'!$D$58</definedName>
    <definedName name="_33h_F62">'Инессы Арманд д.11'!$D$59</definedName>
    <definedName name="_33h_F63">'Инессы Арманд д.11'!#REF!</definedName>
    <definedName name="_33h_F64">'Инессы Арманд д.11'!$D$60</definedName>
    <definedName name="_33h_F65">'Инессы Арманд д.11'!$D$61</definedName>
    <definedName name="_33h_F7">'Инессы Арманд д.11'!$D$5</definedName>
    <definedName name="_33h_F8">'Инессы Арманд д.11'!$D$6</definedName>
    <definedName name="_33h_F9">'Инессы Арманд д.11'!$D$7</definedName>
    <definedName name="_34h_E10">'Карамзина пр-д д.1 к.1'!$C$8</definedName>
    <definedName name="_34h_E11">'Карамзина пр-д д.1 к.1'!$C$9</definedName>
    <definedName name="_34h_E12">'Карамзина пр-д д.1 к.1'!$C$10</definedName>
    <definedName name="_34h_E13">'Карамзина пр-д д.1 к.1'!$C$11</definedName>
    <definedName name="_34h_E14">'Карамзина пр-д д.1 к.1'!$C$12</definedName>
    <definedName name="_34h_E15">'Карамзина пр-д д.1 к.1'!$C$13</definedName>
    <definedName name="_34h_E16">'Карамзина пр-д д.1 к.1'!$C$14</definedName>
    <definedName name="_34h_E17">'Карамзина пр-д д.1 к.1'!$C$15</definedName>
    <definedName name="_34h_E18">'Карамзина пр-д д.1 к.1'!$C$16</definedName>
    <definedName name="_34h_E19">'Карамзина пр-д д.1 к.1'!$C$17</definedName>
    <definedName name="_34h_E20">'Карамзина пр-д д.1 к.1'!$C$18</definedName>
    <definedName name="_34h_E21">'Карамзина пр-д д.1 к.1'!$C$19</definedName>
    <definedName name="_34h_E22">'Карамзина пр-д д.1 к.1'!$C$20</definedName>
    <definedName name="_34h_E23">'Карамзина пр-д д.1 к.1'!$C$21</definedName>
    <definedName name="_34h_E24">'Карамзина пр-д д.1 к.1'!$C$22</definedName>
    <definedName name="_34h_E25">'Карамзина пр-д д.1 к.1'!$C$23</definedName>
    <definedName name="_34h_E26">'Карамзина пр-д д.1 к.1'!$C$24</definedName>
    <definedName name="_34h_E27">'Карамзина пр-д д.1 к.1'!$C$25</definedName>
    <definedName name="_34h_E28">'Карамзина пр-д д.1 к.1'!$C$26</definedName>
    <definedName name="_34h_E29">'Карамзина пр-д д.1 к.1'!$C$27</definedName>
    <definedName name="_34h_E30">'Карамзина пр-д д.1 к.1'!$C$28</definedName>
    <definedName name="_34h_E31">'Карамзина пр-д д.1 к.1'!$C$29</definedName>
    <definedName name="_34h_E32">'Карамзина пр-д д.1 к.1'!$C$30</definedName>
    <definedName name="_34h_E33">'Карамзина пр-д д.1 к.1'!$C$31</definedName>
    <definedName name="_34h_E34">'Карамзина пр-д д.1 к.1'!$C$32</definedName>
    <definedName name="_34h_E35">'Карамзина пр-д д.1 к.1'!$C$33</definedName>
    <definedName name="_34h_E36">'Карамзина пр-д д.1 к.1'!$C$34</definedName>
    <definedName name="_34h_E37">'Карамзина пр-д д.1 к.1'!$C$35</definedName>
    <definedName name="_34h_E38">'Карамзина пр-д д.1 к.1'!$C$36</definedName>
    <definedName name="_34h_E39">'Карамзина пр-д д.1 к.1'!$C$37</definedName>
    <definedName name="_34h_E40">'Карамзина пр-д д.1 к.1'!$C$38</definedName>
    <definedName name="_34h_E41">'Карамзина пр-д д.1 к.1'!$C$39</definedName>
    <definedName name="_34h_E42">'Карамзина пр-д д.1 к.1'!$C$40</definedName>
    <definedName name="_34h_E43">'Карамзина пр-д д.1 к.1'!$C$41</definedName>
    <definedName name="_34h_E44">'Карамзина пр-д д.1 к.1'!$C$42</definedName>
    <definedName name="_34h_E45">'Карамзина пр-д д.1 к.1'!$C$43</definedName>
    <definedName name="_34h_E46">'Карамзина пр-д д.1 к.1'!$C$44</definedName>
    <definedName name="_34h_E47">'Карамзина пр-д д.1 к.1'!$C$45</definedName>
    <definedName name="_34h_E48">'Карамзина пр-д д.1 к.1'!$C$46</definedName>
    <definedName name="_34h_E49">'Карамзина пр-д д.1 к.1'!$C$47</definedName>
    <definedName name="_34h_E50">'Карамзина пр-д д.1 к.1'!$C$48</definedName>
    <definedName name="_34h_E51">'Карамзина пр-д д.1 к.1'!$C$49</definedName>
    <definedName name="_34h_E52">'Карамзина пр-д д.1 к.1'!#REF!</definedName>
    <definedName name="_34h_E53">'Карамзина пр-д д.1 к.1'!$C$50</definedName>
    <definedName name="_34h_E54">'Карамзина пр-д д.1 к.1'!$C$51</definedName>
    <definedName name="_34h_E55">'Карамзина пр-д д.1 к.1'!$C$52</definedName>
    <definedName name="_34h_E56">'Карамзина пр-д д.1 к.1'!$C$53</definedName>
    <definedName name="_34h_E57">'Карамзина пр-д д.1 к.1'!$C$54</definedName>
    <definedName name="_34h_E58">'Карамзина пр-д д.1 к.1'!$C$55</definedName>
    <definedName name="_34h_E59">'Карамзина пр-д д.1 к.1'!$C$56</definedName>
    <definedName name="_34h_E60">'Карамзина пр-д д.1 к.1'!$C$57</definedName>
    <definedName name="_34h_E61">'Карамзина пр-д д.1 к.1'!$C$58</definedName>
    <definedName name="_34h_E62">'Карамзина пр-д д.1 к.1'!$C$59</definedName>
    <definedName name="_34h_E63">'Карамзина пр-д д.1 к.1'!#REF!</definedName>
    <definedName name="_34h_E64">'Карамзина пр-д д.1 к.1'!$C$60</definedName>
    <definedName name="_34h_E65">'Карамзина пр-д д.1 к.1'!$C$61</definedName>
    <definedName name="_34h_E7">'Карамзина пр-д д.1 к.1'!$C$5</definedName>
    <definedName name="_34h_E8">'Карамзина пр-д д.1 к.1'!$C$6</definedName>
    <definedName name="_34h_E9">'Карамзина пр-д д.1 к.1'!$C$7</definedName>
    <definedName name="_34h_F10">'Карамзина пр-д д.1 к.1'!$D$8</definedName>
    <definedName name="_34h_F11">'Карамзина пр-д д.1 к.1'!$D$9</definedName>
    <definedName name="_34h_F12">'Карамзина пр-д д.1 к.1'!$D$10</definedName>
    <definedName name="_34h_F13">'Карамзина пр-д д.1 к.1'!$D$11</definedName>
    <definedName name="_34h_F14">'Карамзина пр-д д.1 к.1'!$D$12</definedName>
    <definedName name="_34h_F15">'Карамзина пр-д д.1 к.1'!$D$13</definedName>
    <definedName name="_34h_F16">'Карамзина пр-д д.1 к.1'!$D$14</definedName>
    <definedName name="_34h_F17">'Карамзина пр-д д.1 к.1'!$D$15</definedName>
    <definedName name="_34h_F18">'Карамзина пр-д д.1 к.1'!$D$16</definedName>
    <definedName name="_34h_F19">'Карамзина пр-д д.1 к.1'!$D$17</definedName>
    <definedName name="_34h_F20">'Карамзина пр-д д.1 к.1'!$D$18</definedName>
    <definedName name="_34h_F21">'Карамзина пр-д д.1 к.1'!$D$19</definedName>
    <definedName name="_34h_F22">'Карамзина пр-д д.1 к.1'!$D$20</definedName>
    <definedName name="_34h_F23">'Карамзина пр-д д.1 к.1'!$D$21</definedName>
    <definedName name="_34h_F24">'Карамзина пр-д д.1 к.1'!$D$22</definedName>
    <definedName name="_34h_F25">'Карамзина пр-д д.1 к.1'!$D$23</definedName>
    <definedName name="_34h_F26">'Карамзина пр-д д.1 к.1'!$D$24</definedName>
    <definedName name="_34h_F27">'Карамзина пр-д д.1 к.1'!$D$25</definedName>
    <definedName name="_34h_F28">'Карамзина пр-д д.1 к.1'!$D$26</definedName>
    <definedName name="_34h_F29">'Карамзина пр-д д.1 к.1'!$D$27</definedName>
    <definedName name="_34h_F30">'Карамзина пр-д д.1 к.1'!$D$28</definedName>
    <definedName name="_34h_F31">'Карамзина пр-д д.1 к.1'!$D$29</definedName>
    <definedName name="_34h_F32">'Карамзина пр-д д.1 к.1'!$D$30</definedName>
    <definedName name="_34h_F33">'Карамзина пр-д д.1 к.1'!$D$31</definedName>
    <definedName name="_34h_F34">'Карамзина пр-д д.1 к.1'!$D$32</definedName>
    <definedName name="_34h_F35">'Карамзина пр-д д.1 к.1'!$D$33</definedName>
    <definedName name="_34h_F36">'Карамзина пр-д д.1 к.1'!$D$34</definedName>
    <definedName name="_34h_F37">'Карамзина пр-д д.1 к.1'!$D$35</definedName>
    <definedName name="_34h_F38">'Карамзина пр-д д.1 к.1'!$D$36</definedName>
    <definedName name="_34h_F39">'Карамзина пр-д д.1 к.1'!$D$37</definedName>
    <definedName name="_34h_F40">'Карамзина пр-д д.1 к.1'!$D$38</definedName>
    <definedName name="_34h_F41">'Карамзина пр-д д.1 к.1'!$D$39</definedName>
    <definedName name="_34h_F42">'Карамзина пр-д д.1 к.1'!$D$40</definedName>
    <definedName name="_34h_F43">'Карамзина пр-д д.1 к.1'!$D$41</definedName>
    <definedName name="_34h_F44">'Карамзина пр-д д.1 к.1'!$D$42</definedName>
    <definedName name="_34h_F45">'Карамзина пр-д д.1 к.1'!$D$43</definedName>
    <definedName name="_34h_F46">'Карамзина пр-д д.1 к.1'!$D$44</definedName>
    <definedName name="_34h_F47">'Карамзина пр-д д.1 к.1'!$D$45</definedName>
    <definedName name="_34h_F48">'Карамзина пр-д д.1 к.1'!$D$46</definedName>
    <definedName name="_34h_F49">'Карамзина пр-д д.1 к.1'!$D$47</definedName>
    <definedName name="_34h_F50">'Карамзина пр-д д.1 к.1'!$D$48</definedName>
    <definedName name="_34h_F51">'Карамзина пр-д д.1 к.1'!$D$49</definedName>
    <definedName name="_34h_F52">'Карамзина пр-д д.1 к.1'!#REF!</definedName>
    <definedName name="_34h_F53">'Карамзина пр-д д.1 к.1'!$D$50</definedName>
    <definedName name="_34h_F54">'Карамзина пр-д д.1 к.1'!$D$51</definedName>
    <definedName name="_34h_F55">'Карамзина пр-д д.1 к.1'!$D$52</definedName>
    <definedName name="_34h_F56">'Карамзина пр-д д.1 к.1'!$D$53</definedName>
    <definedName name="_34h_F57">'Карамзина пр-д д.1 к.1'!$D$54</definedName>
    <definedName name="_34h_F58">'Карамзина пр-д д.1 к.1'!$D$55</definedName>
    <definedName name="_34h_F59">'Карамзина пр-д д.1 к.1'!$D$56</definedName>
    <definedName name="_34h_F60">'Карамзина пр-д д.1 к.1'!$D$57</definedName>
    <definedName name="_34h_F61">'Карамзина пр-д д.1 к.1'!$D$58</definedName>
    <definedName name="_34h_F62">'Карамзина пр-д д.1 к.1'!$D$59</definedName>
    <definedName name="_34h_F63">'Карамзина пр-д д.1 к.1'!#REF!</definedName>
    <definedName name="_34h_F64">'Карамзина пр-д д.1 к.1'!$D$60</definedName>
    <definedName name="_34h_F65">'Карамзина пр-д д.1 к.1'!$D$61</definedName>
    <definedName name="_34h_F7">'Карамзина пр-д д.1 к.1'!$D$5</definedName>
    <definedName name="_34h_F8">'Карамзина пр-д д.1 к.1'!$D$6</definedName>
    <definedName name="_34h_F9">'Карамзина пр-д д.1 к.1'!$D$7</definedName>
    <definedName name="_35h_E10">'Кар~ д.1 к.3 стр.п.1-2,7-12'!$C$8</definedName>
    <definedName name="_35h_E11">'Кар~ д.1 к.3 стр.п.1-2,7-12'!$C$9</definedName>
    <definedName name="_35h_E12">'Кар~ д.1 к.3 стр.п.1-2,7-12'!$C$10</definedName>
    <definedName name="_35h_E13">'Кар~ д.1 к.3 стр.п.1-2,7-12'!$C$11</definedName>
    <definedName name="_35h_E14">'Кар~ д.1 к.3 стр.п.1-2,7-12'!$C$12</definedName>
    <definedName name="_35h_E15">'Кар~ д.1 к.3 стр.п.1-2,7-12'!$C$13</definedName>
    <definedName name="_35h_E16">'Кар~ д.1 к.3 стр.п.1-2,7-12'!$C$14</definedName>
    <definedName name="_35h_E17">'Кар~ д.1 к.3 стр.п.1-2,7-12'!$C$15</definedName>
    <definedName name="_35h_E18">'Кар~ д.1 к.3 стр.п.1-2,7-12'!$C$16</definedName>
    <definedName name="_35h_E19">'Кар~ д.1 к.3 стр.п.1-2,7-12'!$C$17</definedName>
    <definedName name="_35h_E20">'Кар~ д.1 к.3 стр.п.1-2,7-12'!$C$18</definedName>
    <definedName name="_35h_E21">'Кар~ д.1 к.3 стр.п.1-2,7-12'!$C$19</definedName>
    <definedName name="_35h_E22">'Кар~ д.1 к.3 стр.п.1-2,7-12'!$C$20</definedName>
    <definedName name="_35h_E23">'Кар~ д.1 к.3 стр.п.1-2,7-12'!$C$21</definedName>
    <definedName name="_35h_E24">'Кар~ д.1 к.3 стр.п.1-2,7-12'!$C$22</definedName>
    <definedName name="_35h_E25">'Кар~ д.1 к.3 стр.п.1-2,7-12'!$C$23</definedName>
    <definedName name="_35h_E26">'Кар~ д.1 к.3 стр.п.1-2,7-12'!$C$24</definedName>
    <definedName name="_35h_E27">'Кар~ д.1 к.3 стр.п.1-2,7-12'!$C$25</definedName>
    <definedName name="_35h_E28">'Кар~ д.1 к.3 стр.п.1-2,7-12'!$C$26</definedName>
    <definedName name="_35h_E29">'Кар~ д.1 к.3 стр.п.1-2,7-12'!$C$27</definedName>
    <definedName name="_35h_E30">'Кар~ д.1 к.3 стр.п.1-2,7-12'!$C$28</definedName>
    <definedName name="_35h_E31">'Кар~ д.1 к.3 стр.п.1-2,7-12'!$C$29</definedName>
    <definedName name="_35h_E32">'Кар~ д.1 к.3 стр.п.1-2,7-12'!$C$30</definedName>
    <definedName name="_35h_E33">'Кар~ д.1 к.3 стр.п.1-2,7-12'!$C$31</definedName>
    <definedName name="_35h_E34">'Кар~ д.1 к.3 стр.п.1-2,7-12'!$C$32</definedName>
    <definedName name="_35h_E35">'Кар~ д.1 к.3 стр.п.1-2,7-12'!$C$33</definedName>
    <definedName name="_35h_E36">'Кар~ д.1 к.3 стр.п.1-2,7-12'!$C$34</definedName>
    <definedName name="_35h_E37">'Кар~ д.1 к.3 стр.п.1-2,7-12'!$C$35</definedName>
    <definedName name="_35h_E38">'Кар~ д.1 к.3 стр.п.1-2,7-12'!$C$36</definedName>
    <definedName name="_35h_E39">'Кар~ д.1 к.3 стр.п.1-2,7-12'!$C$37</definedName>
    <definedName name="_35h_E40">'Кар~ д.1 к.3 стр.п.1-2,7-12'!$C$38</definedName>
    <definedName name="_35h_E41">'Кар~ д.1 к.3 стр.п.1-2,7-12'!$C$39</definedName>
    <definedName name="_35h_E42">'Кар~ д.1 к.3 стр.п.1-2,7-12'!$C$40</definedName>
    <definedName name="_35h_E43">'Кар~ д.1 к.3 стр.п.1-2,7-12'!$C$41</definedName>
    <definedName name="_35h_E44">'Кар~ д.1 к.3 стр.п.1-2,7-12'!$C$42</definedName>
    <definedName name="_35h_E45">'Кар~ д.1 к.3 стр.п.1-2,7-12'!$C$43</definedName>
    <definedName name="_35h_E46">'Кар~ д.1 к.3 стр.п.1-2,7-12'!$C$44</definedName>
    <definedName name="_35h_E47">'Кар~ д.1 к.3 стр.п.1-2,7-12'!$C$45</definedName>
    <definedName name="_35h_E48">'Кар~ д.1 к.3 стр.п.1-2,7-12'!$C$46</definedName>
    <definedName name="_35h_E49">'Кар~ д.1 к.3 стр.п.1-2,7-12'!$C$47</definedName>
    <definedName name="_35h_E50">'Кар~ д.1 к.3 стр.п.1-2,7-12'!$C$48</definedName>
    <definedName name="_35h_E51">'Кар~ д.1 к.3 стр.п.1-2,7-12'!$C$49</definedName>
    <definedName name="_35h_E52">'Кар~ д.1 к.3 стр.п.1-2,7-12'!#REF!</definedName>
    <definedName name="_35h_E53">'Кар~ д.1 к.3 стр.п.1-2,7-12'!$C$50</definedName>
    <definedName name="_35h_E54">'Кар~ д.1 к.3 стр.п.1-2,7-12'!$C$51</definedName>
    <definedName name="_35h_E55">'Кар~ д.1 к.3 стр.п.1-2,7-12'!$C$52</definedName>
    <definedName name="_35h_E56">'Кар~ д.1 к.3 стр.п.1-2,7-12'!$C$53</definedName>
    <definedName name="_35h_E57">'Кар~ д.1 к.3 стр.п.1-2,7-12'!$C$54</definedName>
    <definedName name="_35h_E58">'Кар~ д.1 к.3 стр.п.1-2,7-12'!$C$55</definedName>
    <definedName name="_35h_E59">'Кар~ д.1 к.3 стр.п.1-2,7-12'!$C$56</definedName>
    <definedName name="_35h_E60">'Кар~ д.1 к.3 стр.п.1-2,7-12'!$C$57</definedName>
    <definedName name="_35h_E61">'Кар~ д.1 к.3 стр.п.1-2,7-12'!$C$58</definedName>
    <definedName name="_35h_E62">'Кар~ д.1 к.3 стр.п.1-2,7-12'!$C$59</definedName>
    <definedName name="_35h_E63">'Кар~ д.1 к.3 стр.п.1-2,7-12'!#REF!</definedName>
    <definedName name="_35h_E64">'Кар~ д.1 к.3 стр.п.1-2,7-12'!$C$60</definedName>
    <definedName name="_35h_E65">'Кар~ д.1 к.3 стр.п.1-2,7-12'!$C$61</definedName>
    <definedName name="_35h_E7">'Кар~ д.1 к.3 стр.п.1-2,7-12'!$C$5</definedName>
    <definedName name="_35h_E8">'Кар~ д.1 к.3 стр.п.1-2,7-12'!$C$6</definedName>
    <definedName name="_35h_E9">'Кар~ д.1 к.3 стр.п.1-2,7-12'!$C$7</definedName>
    <definedName name="_35h_F10">'Кар~ д.1 к.3 стр.п.1-2,7-12'!$D$8</definedName>
    <definedName name="_35h_F11">'Кар~ д.1 к.3 стр.п.1-2,7-12'!$D$9</definedName>
    <definedName name="_35h_F12">'Кар~ д.1 к.3 стр.п.1-2,7-12'!$D$10</definedName>
    <definedName name="_35h_F13">'Кар~ д.1 к.3 стр.п.1-2,7-12'!$D$11</definedName>
    <definedName name="_35h_F14">'Кар~ д.1 к.3 стр.п.1-2,7-12'!$D$12</definedName>
    <definedName name="_35h_F15">'Кар~ д.1 к.3 стр.п.1-2,7-12'!$D$13</definedName>
    <definedName name="_35h_F16">'Кар~ д.1 к.3 стр.п.1-2,7-12'!$D$14</definedName>
    <definedName name="_35h_F17">'Кар~ д.1 к.3 стр.п.1-2,7-12'!$D$15</definedName>
    <definedName name="_35h_F18">'Кар~ д.1 к.3 стр.п.1-2,7-12'!$D$16</definedName>
    <definedName name="_35h_F19">'Кар~ д.1 к.3 стр.п.1-2,7-12'!$D$17</definedName>
    <definedName name="_35h_F20">'Кар~ д.1 к.3 стр.п.1-2,7-12'!$D$18</definedName>
    <definedName name="_35h_F21">'Кар~ д.1 к.3 стр.п.1-2,7-12'!$D$19</definedName>
    <definedName name="_35h_F22">'Кар~ д.1 к.3 стр.п.1-2,7-12'!$D$20</definedName>
    <definedName name="_35h_F23">'Кар~ д.1 к.3 стр.п.1-2,7-12'!$D$21</definedName>
    <definedName name="_35h_F24">'Кар~ д.1 к.3 стр.п.1-2,7-12'!$D$22</definedName>
    <definedName name="_35h_F25">'Кар~ д.1 к.3 стр.п.1-2,7-12'!$D$23</definedName>
    <definedName name="_35h_F26">'Кар~ д.1 к.3 стр.п.1-2,7-12'!$D$24</definedName>
    <definedName name="_35h_F27">'Кар~ д.1 к.3 стр.п.1-2,7-12'!$D$25</definedName>
    <definedName name="_35h_F28">'Кар~ д.1 к.3 стр.п.1-2,7-12'!$D$26</definedName>
    <definedName name="_35h_F29">'Кар~ д.1 к.3 стр.п.1-2,7-12'!$D$27</definedName>
    <definedName name="_35h_F30">'Кар~ д.1 к.3 стр.п.1-2,7-12'!$D$28</definedName>
    <definedName name="_35h_F31">'Кар~ д.1 к.3 стр.п.1-2,7-12'!$D$29</definedName>
    <definedName name="_35h_F32">'Кар~ д.1 к.3 стр.п.1-2,7-12'!$D$30</definedName>
    <definedName name="_35h_F33">'Кар~ д.1 к.3 стр.п.1-2,7-12'!$D$31</definedName>
    <definedName name="_35h_F34">'Кар~ д.1 к.3 стр.п.1-2,7-12'!$D$32</definedName>
    <definedName name="_35h_F35">'Кар~ д.1 к.3 стр.п.1-2,7-12'!$D$33</definedName>
    <definedName name="_35h_F36">'Кар~ д.1 к.3 стр.п.1-2,7-12'!$D$34</definedName>
    <definedName name="_35h_F37">'Кар~ д.1 к.3 стр.п.1-2,7-12'!$D$35</definedName>
    <definedName name="_35h_F38">'Кар~ д.1 к.3 стр.п.1-2,7-12'!$D$36</definedName>
    <definedName name="_35h_F39">'Кар~ д.1 к.3 стр.п.1-2,7-12'!$D$37</definedName>
    <definedName name="_35h_F40">'Кар~ д.1 к.3 стр.п.1-2,7-12'!$D$38</definedName>
    <definedName name="_35h_F41">'Кар~ д.1 к.3 стр.п.1-2,7-12'!$D$39</definedName>
    <definedName name="_35h_F42">'Кар~ д.1 к.3 стр.п.1-2,7-12'!$D$40</definedName>
    <definedName name="_35h_F43">'Кар~ д.1 к.3 стр.п.1-2,7-12'!$D$41</definedName>
    <definedName name="_35h_F44">'Кар~ д.1 к.3 стр.п.1-2,7-12'!$D$42</definedName>
    <definedName name="_35h_F45">'Кар~ д.1 к.3 стр.п.1-2,7-12'!$D$43</definedName>
    <definedName name="_35h_F46">'Кар~ д.1 к.3 стр.п.1-2,7-12'!$D$44</definedName>
    <definedName name="_35h_F47">'Кар~ д.1 к.3 стр.п.1-2,7-12'!$D$45</definedName>
    <definedName name="_35h_F48">'Кар~ д.1 к.3 стр.п.1-2,7-12'!$D$46</definedName>
    <definedName name="_35h_F49">'Кар~ д.1 к.3 стр.п.1-2,7-12'!$D$47</definedName>
    <definedName name="_35h_F50">'Кар~ д.1 к.3 стр.п.1-2,7-12'!$D$48</definedName>
    <definedName name="_35h_F51">'Кар~ д.1 к.3 стр.п.1-2,7-12'!$D$49</definedName>
    <definedName name="_35h_F52">'Кар~ д.1 к.3 стр.п.1-2,7-12'!#REF!</definedName>
    <definedName name="_35h_F53">'Кар~ д.1 к.3 стр.п.1-2,7-12'!$D$50</definedName>
    <definedName name="_35h_F54">'Кар~ д.1 к.3 стр.п.1-2,7-12'!$D$51</definedName>
    <definedName name="_35h_F55">'Кар~ д.1 к.3 стр.п.1-2,7-12'!$D$52</definedName>
    <definedName name="_35h_F56">'Кар~ д.1 к.3 стр.п.1-2,7-12'!$D$53</definedName>
    <definedName name="_35h_F57">'Кар~ д.1 к.3 стр.п.1-2,7-12'!$D$54</definedName>
    <definedName name="_35h_F58">'Кар~ д.1 к.3 стр.п.1-2,7-12'!$D$55</definedName>
    <definedName name="_35h_F59">'Кар~ д.1 к.3 стр.п.1-2,7-12'!$D$56</definedName>
    <definedName name="_35h_F60">'Кар~ д.1 к.3 стр.п.1-2,7-12'!$D$57</definedName>
    <definedName name="_35h_F61">'Кар~ д.1 к.3 стр.п.1-2,7-12'!$D$58</definedName>
    <definedName name="_35h_F62">'Кар~ д.1 к.3 стр.п.1-2,7-12'!$D$59</definedName>
    <definedName name="_35h_F63">'Кар~ д.1 к.3 стр.п.1-2,7-12'!#REF!</definedName>
    <definedName name="_35h_F64">'Кар~ д.1 к.3 стр.п.1-2,7-12'!$D$60</definedName>
    <definedName name="_35h_F65">'Кар~ д.1 к.3 стр.п.1-2,7-12'!$D$61</definedName>
    <definedName name="_35h_F7">'Кар~ д.1 к.3 стр.п.1-2,7-12'!$D$5</definedName>
    <definedName name="_35h_F8">'Кар~ д.1 к.3 стр.п.1-2,7-12'!$D$6</definedName>
    <definedName name="_35h_F9">'Кар~ д.1 к.3 стр.п.1-2,7-12'!$D$7</definedName>
    <definedName name="_36h_E10">'Ка~ д.1 к.3 стр.п.3-6 ЖСК Омега'!$C$8</definedName>
    <definedName name="_36h_E11">'Ка~ д.1 к.3 стр.п.3-6 ЖСК Омега'!$C$9</definedName>
    <definedName name="_36h_E12">'Ка~ д.1 к.3 стр.п.3-6 ЖСК Омега'!$C$10</definedName>
    <definedName name="_36h_E13">'Ка~ д.1 к.3 стр.п.3-6 ЖСК Омега'!$C$11</definedName>
    <definedName name="_36h_E14">'Ка~ д.1 к.3 стр.п.3-6 ЖСК Омега'!$C$12</definedName>
    <definedName name="_36h_E15">'Ка~ д.1 к.3 стр.п.3-6 ЖСК Омега'!$C$13</definedName>
    <definedName name="_36h_E16">'Ка~ д.1 к.3 стр.п.3-6 ЖСК Омега'!$C$14</definedName>
    <definedName name="_36h_E17">'Ка~ д.1 к.3 стр.п.3-6 ЖСК Омега'!$C$15</definedName>
    <definedName name="_36h_E18">'Ка~ д.1 к.3 стр.п.3-6 ЖСК Омега'!$C$16</definedName>
    <definedName name="_36h_E19">'Ка~ д.1 к.3 стр.п.3-6 ЖСК Омега'!$C$17</definedName>
    <definedName name="_36h_E20">'Ка~ д.1 к.3 стр.п.3-6 ЖСК Омега'!$C$18</definedName>
    <definedName name="_36h_E21">'Ка~ д.1 к.3 стр.п.3-6 ЖСК Омега'!$C$19</definedName>
    <definedName name="_36h_E22">'Ка~ д.1 к.3 стр.п.3-6 ЖСК Омега'!$C$20</definedName>
    <definedName name="_36h_E23">'Ка~ д.1 к.3 стр.п.3-6 ЖСК Омега'!$C$21</definedName>
    <definedName name="_36h_E24">'Ка~ д.1 к.3 стр.п.3-6 ЖСК Омега'!$C$22</definedName>
    <definedName name="_36h_E25">'Ка~ д.1 к.3 стр.п.3-6 ЖСК Омега'!$C$23</definedName>
    <definedName name="_36h_E26">'Ка~ д.1 к.3 стр.п.3-6 ЖСК Омега'!$C$24</definedName>
    <definedName name="_36h_E27">'Ка~ д.1 к.3 стр.п.3-6 ЖСК Омега'!$C$25</definedName>
    <definedName name="_36h_E28">'Ка~ д.1 к.3 стр.п.3-6 ЖСК Омега'!$C$26</definedName>
    <definedName name="_36h_E29">'Ка~ д.1 к.3 стр.п.3-6 ЖСК Омега'!$C$27</definedName>
    <definedName name="_36h_E30">'Ка~ д.1 к.3 стр.п.3-6 ЖСК Омега'!$C$28</definedName>
    <definedName name="_36h_E31">'Ка~ д.1 к.3 стр.п.3-6 ЖСК Омега'!$C$29</definedName>
    <definedName name="_36h_E32">'Ка~ д.1 к.3 стр.п.3-6 ЖСК Омега'!$C$30</definedName>
    <definedName name="_36h_E33">'Ка~ д.1 к.3 стр.п.3-6 ЖСК Омега'!$C$31</definedName>
    <definedName name="_36h_E34">'Ка~ д.1 к.3 стр.п.3-6 ЖСК Омега'!$C$32</definedName>
    <definedName name="_36h_E35">'Ка~ д.1 к.3 стр.п.3-6 ЖСК Омега'!$C$33</definedName>
    <definedName name="_36h_E36">'Ка~ д.1 к.3 стр.п.3-6 ЖСК Омега'!$C$34</definedName>
    <definedName name="_36h_E37">'Ка~ д.1 к.3 стр.п.3-6 ЖСК Омега'!$C$35</definedName>
    <definedName name="_36h_E38">'Ка~ д.1 к.3 стр.п.3-6 ЖСК Омега'!$C$36</definedName>
    <definedName name="_36h_E39">'Ка~ д.1 к.3 стр.п.3-6 ЖСК Омега'!$C$37</definedName>
    <definedName name="_36h_E40">'Ка~ д.1 к.3 стр.п.3-6 ЖСК Омега'!$C$38</definedName>
    <definedName name="_36h_E41">'Ка~ д.1 к.3 стр.п.3-6 ЖСК Омега'!$C$39</definedName>
    <definedName name="_36h_E42">'Ка~ д.1 к.3 стр.п.3-6 ЖСК Омега'!$C$40</definedName>
    <definedName name="_36h_E43">'Ка~ д.1 к.3 стр.п.3-6 ЖСК Омега'!$C$41</definedName>
    <definedName name="_36h_E44">'Ка~ д.1 к.3 стр.п.3-6 ЖСК Омега'!$C$42</definedName>
    <definedName name="_36h_E45">'Ка~ д.1 к.3 стр.п.3-6 ЖСК Омега'!$C$43</definedName>
    <definedName name="_36h_E46">'Ка~ д.1 к.3 стр.п.3-6 ЖСК Омега'!$C$44</definedName>
    <definedName name="_36h_E47">'Ка~ д.1 к.3 стр.п.3-6 ЖСК Омега'!$C$45</definedName>
    <definedName name="_36h_E48">'Ка~ д.1 к.3 стр.п.3-6 ЖСК Омега'!$C$46</definedName>
    <definedName name="_36h_E49">'Ка~ д.1 к.3 стр.п.3-6 ЖСК Омега'!$C$47</definedName>
    <definedName name="_36h_E50">'Ка~ д.1 к.3 стр.п.3-6 ЖСК Омега'!$C$48</definedName>
    <definedName name="_36h_E51">'Ка~ д.1 к.3 стр.п.3-6 ЖСК Омега'!$C$49</definedName>
    <definedName name="_36h_E52">'Ка~ д.1 к.3 стр.п.3-6 ЖСК Омега'!#REF!</definedName>
    <definedName name="_36h_E53">'Ка~ д.1 к.3 стр.п.3-6 ЖСК Омега'!$C$50</definedName>
    <definedName name="_36h_E54">'Ка~ д.1 к.3 стр.п.3-6 ЖСК Омега'!$C$51</definedName>
    <definedName name="_36h_E55">'Ка~ д.1 к.3 стр.п.3-6 ЖСК Омега'!$C$52</definedName>
    <definedName name="_36h_E56">'Ка~ д.1 к.3 стр.п.3-6 ЖСК Омега'!$C$53</definedName>
    <definedName name="_36h_E57">'Ка~ д.1 к.3 стр.п.3-6 ЖСК Омега'!$C$54</definedName>
    <definedName name="_36h_E58">'Ка~ д.1 к.3 стр.п.3-6 ЖСК Омега'!$C$55</definedName>
    <definedName name="_36h_E59">'Ка~ д.1 к.3 стр.п.3-6 ЖСК Омега'!$C$56</definedName>
    <definedName name="_36h_E60">'Ка~ д.1 к.3 стр.п.3-6 ЖСК Омега'!$C$57</definedName>
    <definedName name="_36h_E61">'Ка~ д.1 к.3 стр.п.3-6 ЖСК Омега'!$C$58</definedName>
    <definedName name="_36h_E62">'Ка~ д.1 к.3 стр.п.3-6 ЖСК Омега'!$C$59</definedName>
    <definedName name="_36h_E63">'Ка~ д.1 к.3 стр.п.3-6 ЖСК Омега'!#REF!</definedName>
    <definedName name="_36h_E64">'Ка~ д.1 к.3 стр.п.3-6 ЖСК Омега'!$C$60</definedName>
    <definedName name="_36h_E65">'Ка~ д.1 к.3 стр.п.3-6 ЖСК Омега'!$C$61</definedName>
    <definedName name="_36h_E7">'Ка~ д.1 к.3 стр.п.3-6 ЖСК Омега'!$C$5</definedName>
    <definedName name="_36h_E8">'Ка~ д.1 к.3 стр.п.3-6 ЖСК Омега'!$C$6</definedName>
    <definedName name="_36h_E9">'Ка~ д.1 к.3 стр.п.3-6 ЖСК Омега'!$C$7</definedName>
    <definedName name="_36h_F10">'Ка~ д.1 к.3 стр.п.3-6 ЖСК Омега'!$D$8</definedName>
    <definedName name="_36h_F11">'Ка~ д.1 к.3 стр.п.3-6 ЖСК Омега'!$D$9</definedName>
    <definedName name="_36h_F12">'Ка~ д.1 к.3 стр.п.3-6 ЖСК Омега'!$D$10</definedName>
    <definedName name="_36h_F13">'Ка~ д.1 к.3 стр.п.3-6 ЖСК Омега'!$D$11</definedName>
    <definedName name="_36h_F14">'Ка~ д.1 к.3 стр.п.3-6 ЖСК Омега'!$D$12</definedName>
    <definedName name="_36h_F15">'Ка~ д.1 к.3 стр.п.3-6 ЖСК Омега'!$D$13</definedName>
    <definedName name="_36h_F16">'Ка~ д.1 к.3 стр.п.3-6 ЖСК Омега'!$D$14</definedName>
    <definedName name="_36h_F17">'Ка~ д.1 к.3 стр.п.3-6 ЖСК Омега'!$D$15</definedName>
    <definedName name="_36h_F18">'Ка~ д.1 к.3 стр.п.3-6 ЖСК Омега'!$D$16</definedName>
    <definedName name="_36h_F19">'Ка~ д.1 к.3 стр.п.3-6 ЖСК Омега'!$D$17</definedName>
    <definedName name="_36h_F20">'Ка~ д.1 к.3 стр.п.3-6 ЖСК Омега'!$D$18</definedName>
    <definedName name="_36h_F21">'Ка~ д.1 к.3 стр.п.3-6 ЖСК Омега'!$D$19</definedName>
    <definedName name="_36h_F22">'Ка~ д.1 к.3 стр.п.3-6 ЖСК Омега'!$D$20</definedName>
    <definedName name="_36h_F23">'Ка~ д.1 к.3 стр.п.3-6 ЖСК Омега'!$D$21</definedName>
    <definedName name="_36h_F24">'Ка~ д.1 к.3 стр.п.3-6 ЖСК Омега'!$D$22</definedName>
    <definedName name="_36h_F25">'Ка~ д.1 к.3 стр.п.3-6 ЖСК Омега'!$D$23</definedName>
    <definedName name="_36h_F26">'Ка~ д.1 к.3 стр.п.3-6 ЖСК Омега'!$D$24</definedName>
    <definedName name="_36h_F27">'Ка~ д.1 к.3 стр.п.3-6 ЖСК Омега'!$D$25</definedName>
    <definedName name="_36h_F28">'Ка~ д.1 к.3 стр.п.3-6 ЖСК Омега'!$D$26</definedName>
    <definedName name="_36h_F29">'Ка~ д.1 к.3 стр.п.3-6 ЖСК Омега'!$D$27</definedName>
    <definedName name="_36h_F30">'Ка~ д.1 к.3 стр.п.3-6 ЖСК Омега'!$D$28</definedName>
    <definedName name="_36h_F31">'Ка~ д.1 к.3 стр.п.3-6 ЖСК Омега'!$D$29</definedName>
    <definedName name="_36h_F32">'Ка~ д.1 к.3 стр.п.3-6 ЖСК Омега'!$D$30</definedName>
    <definedName name="_36h_F33">'Ка~ д.1 к.3 стр.п.3-6 ЖСК Омега'!$D$31</definedName>
    <definedName name="_36h_F34">'Ка~ д.1 к.3 стр.п.3-6 ЖСК Омега'!$D$32</definedName>
    <definedName name="_36h_F35">'Ка~ д.1 к.3 стр.п.3-6 ЖСК Омега'!$D$33</definedName>
    <definedName name="_36h_F36">'Ка~ д.1 к.3 стр.п.3-6 ЖСК Омега'!$D$34</definedName>
    <definedName name="_36h_F37">'Ка~ д.1 к.3 стр.п.3-6 ЖСК Омега'!$D$35</definedName>
    <definedName name="_36h_F38">'Ка~ д.1 к.3 стр.п.3-6 ЖСК Омега'!$D$36</definedName>
    <definedName name="_36h_F39">'Ка~ д.1 к.3 стр.п.3-6 ЖСК Омега'!$D$37</definedName>
    <definedName name="_36h_F40">'Ка~ д.1 к.3 стр.п.3-6 ЖСК Омега'!$D$38</definedName>
    <definedName name="_36h_F41">'Ка~ д.1 к.3 стр.п.3-6 ЖСК Омега'!$D$39</definedName>
    <definedName name="_36h_F42">'Ка~ д.1 к.3 стр.п.3-6 ЖСК Омега'!$D$40</definedName>
    <definedName name="_36h_F43">'Ка~ д.1 к.3 стр.п.3-6 ЖСК Омега'!$D$41</definedName>
    <definedName name="_36h_F44">'Ка~ д.1 к.3 стр.п.3-6 ЖСК Омега'!$D$42</definedName>
    <definedName name="_36h_F45">'Ка~ д.1 к.3 стр.п.3-6 ЖСК Омега'!$D$43</definedName>
    <definedName name="_36h_F46">'Ка~ д.1 к.3 стр.п.3-6 ЖСК Омега'!$D$44</definedName>
    <definedName name="_36h_F47">'Ка~ д.1 к.3 стр.п.3-6 ЖСК Омега'!$D$45</definedName>
    <definedName name="_36h_F48">'Ка~ д.1 к.3 стр.п.3-6 ЖСК Омега'!$D$46</definedName>
    <definedName name="_36h_F49">'Ка~ д.1 к.3 стр.п.3-6 ЖСК Омега'!$D$47</definedName>
    <definedName name="_36h_F50">'Ка~ д.1 к.3 стр.п.3-6 ЖСК Омега'!$D$48</definedName>
    <definedName name="_36h_F51">'Ка~ д.1 к.3 стр.п.3-6 ЖСК Омега'!$D$49</definedName>
    <definedName name="_36h_F52">'Ка~ д.1 к.3 стр.п.3-6 ЖСК Омега'!#REF!</definedName>
    <definedName name="_36h_F53">'Ка~ д.1 к.3 стр.п.3-6 ЖСК Омега'!$D$50</definedName>
    <definedName name="_36h_F54">'Ка~ д.1 к.3 стр.п.3-6 ЖСК Омега'!$D$51</definedName>
    <definedName name="_36h_F55">'Ка~ д.1 к.3 стр.п.3-6 ЖСК Омега'!$D$52</definedName>
    <definedName name="_36h_F56">'Ка~ д.1 к.3 стр.п.3-6 ЖСК Омега'!$D$53</definedName>
    <definedName name="_36h_F57">'Ка~ д.1 к.3 стр.п.3-6 ЖСК Омега'!$D$54</definedName>
    <definedName name="_36h_F58">'Ка~ д.1 к.3 стр.п.3-6 ЖСК Омега'!$D$55</definedName>
    <definedName name="_36h_F59">'Ка~ д.1 к.3 стр.п.3-6 ЖСК Омега'!$D$56</definedName>
    <definedName name="_36h_F60">'Ка~ д.1 к.3 стр.п.3-6 ЖСК Омега'!$D$57</definedName>
    <definedName name="_36h_F61">'Ка~ д.1 к.3 стр.п.3-6 ЖСК Омега'!$D$58</definedName>
    <definedName name="_36h_F62">'Ка~ д.1 к.3 стр.п.3-6 ЖСК Омега'!$D$59</definedName>
    <definedName name="_36h_F63">'Ка~ д.1 к.3 стр.п.3-6 ЖСК Омега'!#REF!</definedName>
    <definedName name="_36h_F64">'Ка~ д.1 к.3 стр.п.3-6 ЖСК Омега'!$D$60</definedName>
    <definedName name="_36h_F65">'Ка~ д.1 к.3 стр.п.3-6 ЖСК Омега'!$D$61</definedName>
    <definedName name="_36h_F7">'Ка~ д.1 к.3 стр.п.3-6 ЖСК Омега'!$D$5</definedName>
    <definedName name="_36h_F8">'Ка~ д.1 к.3 стр.п.3-6 ЖСК Омега'!$D$6</definedName>
    <definedName name="_36h_F9">'Ка~ д.1 к.3 стр.п.3-6 ЖСК Омега'!$D$7</definedName>
    <definedName name="_37h_E10">'К~ д.1 к.3 стр.п.13-16 ЖСК Лимб'!$C$8</definedName>
    <definedName name="_37h_E11">'К~ д.1 к.3 стр.п.13-16 ЖСК Лимб'!$C$9</definedName>
    <definedName name="_37h_E12">'К~ д.1 к.3 стр.п.13-16 ЖСК Лимб'!$C$10</definedName>
    <definedName name="_37h_E13">'К~ д.1 к.3 стр.п.13-16 ЖСК Лимб'!$C$11</definedName>
    <definedName name="_37h_E14">'К~ д.1 к.3 стр.п.13-16 ЖСК Лимб'!$C$12</definedName>
    <definedName name="_37h_E15">'К~ д.1 к.3 стр.п.13-16 ЖСК Лимб'!$C$13</definedName>
    <definedName name="_37h_E16">'К~ д.1 к.3 стр.п.13-16 ЖСК Лимб'!$C$14</definedName>
    <definedName name="_37h_E17">'К~ д.1 к.3 стр.п.13-16 ЖСК Лимб'!$C$15</definedName>
    <definedName name="_37h_E18">'К~ д.1 к.3 стр.п.13-16 ЖСК Лимб'!$C$16</definedName>
    <definedName name="_37h_E19">'К~ д.1 к.3 стр.п.13-16 ЖСК Лимб'!$C$17</definedName>
    <definedName name="_37h_E20">'К~ д.1 к.3 стр.п.13-16 ЖСК Лимб'!$C$18</definedName>
    <definedName name="_37h_E21">'К~ д.1 к.3 стр.п.13-16 ЖСК Лимб'!$C$19</definedName>
    <definedName name="_37h_E22">'К~ д.1 к.3 стр.п.13-16 ЖСК Лимб'!$C$20</definedName>
    <definedName name="_37h_E23">'К~ д.1 к.3 стр.п.13-16 ЖСК Лимб'!$C$21</definedName>
    <definedName name="_37h_E24">'К~ д.1 к.3 стр.п.13-16 ЖСК Лимб'!$C$22</definedName>
    <definedName name="_37h_E25">'К~ д.1 к.3 стр.п.13-16 ЖСК Лимб'!$C$23</definedName>
    <definedName name="_37h_E26">'К~ д.1 к.3 стр.п.13-16 ЖСК Лимб'!$C$24</definedName>
    <definedName name="_37h_E27">'К~ д.1 к.3 стр.п.13-16 ЖСК Лимб'!$C$25</definedName>
    <definedName name="_37h_E28">'К~ д.1 к.3 стр.п.13-16 ЖСК Лимб'!$C$26</definedName>
    <definedName name="_37h_E29">'К~ д.1 к.3 стр.п.13-16 ЖСК Лимб'!$C$27</definedName>
    <definedName name="_37h_E30">'К~ д.1 к.3 стр.п.13-16 ЖСК Лимб'!$C$28</definedName>
    <definedName name="_37h_E31">'К~ д.1 к.3 стр.п.13-16 ЖСК Лимб'!$C$29</definedName>
    <definedName name="_37h_E32">'К~ д.1 к.3 стр.п.13-16 ЖСК Лимб'!$C$30</definedName>
    <definedName name="_37h_E33">'К~ д.1 к.3 стр.п.13-16 ЖСК Лимб'!$C$31</definedName>
    <definedName name="_37h_E34">'К~ д.1 к.3 стр.п.13-16 ЖСК Лимб'!$C$32</definedName>
    <definedName name="_37h_E35">'К~ д.1 к.3 стр.п.13-16 ЖСК Лимб'!$C$33</definedName>
    <definedName name="_37h_E36">'К~ д.1 к.3 стр.п.13-16 ЖСК Лимб'!$C$34</definedName>
    <definedName name="_37h_E37">'К~ д.1 к.3 стр.п.13-16 ЖСК Лимб'!$C$35</definedName>
    <definedName name="_37h_E38">'К~ д.1 к.3 стр.п.13-16 ЖСК Лимб'!$C$36</definedName>
    <definedName name="_37h_E39">'К~ д.1 к.3 стр.п.13-16 ЖСК Лимб'!$C$37</definedName>
    <definedName name="_37h_E40">'К~ д.1 к.3 стр.п.13-16 ЖСК Лимб'!$C$38</definedName>
    <definedName name="_37h_E41">'К~ д.1 к.3 стр.п.13-16 ЖСК Лимб'!$C$39</definedName>
    <definedName name="_37h_E42">'К~ д.1 к.3 стр.п.13-16 ЖСК Лимб'!$C$40</definedName>
    <definedName name="_37h_E43">'К~ д.1 к.3 стр.п.13-16 ЖСК Лимб'!$C$41</definedName>
    <definedName name="_37h_E44">'К~ д.1 к.3 стр.п.13-16 ЖСК Лимб'!$C$42</definedName>
    <definedName name="_37h_E45">'К~ д.1 к.3 стр.п.13-16 ЖСК Лимб'!$C$43</definedName>
    <definedName name="_37h_E46">'К~ д.1 к.3 стр.п.13-16 ЖСК Лимб'!$C$44</definedName>
    <definedName name="_37h_E47">'К~ д.1 к.3 стр.п.13-16 ЖСК Лимб'!$C$45</definedName>
    <definedName name="_37h_E48">'К~ д.1 к.3 стр.п.13-16 ЖСК Лимб'!$C$46</definedName>
    <definedName name="_37h_E49">'К~ д.1 к.3 стр.п.13-16 ЖСК Лимб'!$C$47</definedName>
    <definedName name="_37h_E50">'К~ д.1 к.3 стр.п.13-16 ЖСК Лимб'!$C$48</definedName>
    <definedName name="_37h_E51">'К~ д.1 к.3 стр.п.13-16 ЖСК Лимб'!$C$49</definedName>
    <definedName name="_37h_E52">'К~ д.1 к.3 стр.п.13-16 ЖСК Лимб'!#REF!</definedName>
    <definedName name="_37h_E53">'К~ д.1 к.3 стр.п.13-16 ЖСК Лимб'!$C$50</definedName>
    <definedName name="_37h_E54">'К~ д.1 к.3 стр.п.13-16 ЖСК Лимб'!$C$51</definedName>
    <definedName name="_37h_E55">'К~ д.1 к.3 стр.п.13-16 ЖСК Лимб'!$C$52</definedName>
    <definedName name="_37h_E56">'К~ д.1 к.3 стр.п.13-16 ЖСК Лимб'!$C$53</definedName>
    <definedName name="_37h_E57">'К~ д.1 к.3 стр.п.13-16 ЖСК Лимб'!$C$54</definedName>
    <definedName name="_37h_E58">'К~ д.1 к.3 стр.п.13-16 ЖСК Лимб'!$C$55</definedName>
    <definedName name="_37h_E59">'К~ д.1 к.3 стр.п.13-16 ЖСК Лимб'!$C$56</definedName>
    <definedName name="_37h_E60">'К~ д.1 к.3 стр.п.13-16 ЖСК Лимб'!$C$57</definedName>
    <definedName name="_37h_E61">'К~ д.1 к.3 стр.п.13-16 ЖСК Лимб'!$C$58</definedName>
    <definedName name="_37h_E62">'К~ д.1 к.3 стр.п.13-16 ЖСК Лимб'!$C$59</definedName>
    <definedName name="_37h_E63">'К~ д.1 к.3 стр.п.13-16 ЖСК Лимб'!#REF!</definedName>
    <definedName name="_37h_E64">'К~ д.1 к.3 стр.п.13-16 ЖСК Лимб'!$C$60</definedName>
    <definedName name="_37h_E65">'К~ д.1 к.3 стр.п.13-16 ЖСК Лимб'!$C$61</definedName>
    <definedName name="_37h_E7">'К~ д.1 к.3 стр.п.13-16 ЖСК Лимб'!$C$5</definedName>
    <definedName name="_37h_E8">'К~ д.1 к.3 стр.п.13-16 ЖСК Лимб'!$C$6</definedName>
    <definedName name="_37h_E9">'К~ д.1 к.3 стр.п.13-16 ЖСК Лимб'!$C$7</definedName>
    <definedName name="_37h_F10">'К~ д.1 к.3 стр.п.13-16 ЖСК Лимб'!$D$8</definedName>
    <definedName name="_37h_F11">'К~ д.1 к.3 стр.п.13-16 ЖСК Лимб'!$D$9</definedName>
    <definedName name="_37h_F12">'К~ д.1 к.3 стр.п.13-16 ЖСК Лимб'!$D$10</definedName>
    <definedName name="_37h_F13">'К~ д.1 к.3 стр.п.13-16 ЖСК Лимб'!$D$11</definedName>
    <definedName name="_37h_F14">'К~ д.1 к.3 стр.п.13-16 ЖСК Лимб'!$D$12</definedName>
    <definedName name="_37h_F15">'К~ д.1 к.3 стр.п.13-16 ЖСК Лимб'!$D$13</definedName>
    <definedName name="_37h_F16">'К~ д.1 к.3 стр.п.13-16 ЖСК Лимб'!$D$14</definedName>
    <definedName name="_37h_F17">'К~ д.1 к.3 стр.п.13-16 ЖСК Лимб'!$D$15</definedName>
    <definedName name="_37h_F18">'К~ д.1 к.3 стр.п.13-16 ЖСК Лимб'!$D$16</definedName>
    <definedName name="_37h_F19">'К~ д.1 к.3 стр.п.13-16 ЖСК Лимб'!$D$17</definedName>
    <definedName name="_37h_F20">'К~ д.1 к.3 стр.п.13-16 ЖСК Лимб'!$D$18</definedName>
    <definedName name="_37h_F21">'К~ д.1 к.3 стр.п.13-16 ЖСК Лимб'!$D$19</definedName>
    <definedName name="_37h_F22">'К~ д.1 к.3 стр.п.13-16 ЖСК Лимб'!$D$20</definedName>
    <definedName name="_37h_F23">'К~ д.1 к.3 стр.п.13-16 ЖСК Лимб'!$D$21</definedName>
    <definedName name="_37h_F24">'К~ д.1 к.3 стр.п.13-16 ЖСК Лимб'!$D$22</definedName>
    <definedName name="_37h_F25">'К~ д.1 к.3 стр.п.13-16 ЖСК Лимб'!$D$23</definedName>
    <definedName name="_37h_F26">'К~ д.1 к.3 стр.п.13-16 ЖСК Лимб'!$D$24</definedName>
    <definedName name="_37h_F27">'К~ д.1 к.3 стр.п.13-16 ЖСК Лимб'!$D$25</definedName>
    <definedName name="_37h_F28">'К~ д.1 к.3 стр.п.13-16 ЖСК Лимб'!$D$26</definedName>
    <definedName name="_37h_F29">'К~ д.1 к.3 стр.п.13-16 ЖСК Лимб'!$D$27</definedName>
    <definedName name="_37h_F30">'К~ д.1 к.3 стр.п.13-16 ЖСК Лимб'!$D$28</definedName>
    <definedName name="_37h_F31">'К~ д.1 к.3 стр.п.13-16 ЖСК Лимб'!$D$29</definedName>
    <definedName name="_37h_F32">'К~ д.1 к.3 стр.п.13-16 ЖСК Лимб'!$D$30</definedName>
    <definedName name="_37h_F33">'К~ д.1 к.3 стр.п.13-16 ЖСК Лимб'!$D$31</definedName>
    <definedName name="_37h_F34">'К~ д.1 к.3 стр.п.13-16 ЖСК Лимб'!$D$32</definedName>
    <definedName name="_37h_F35">'К~ д.1 к.3 стр.п.13-16 ЖСК Лимб'!$D$33</definedName>
    <definedName name="_37h_F36">'К~ д.1 к.3 стр.п.13-16 ЖСК Лимб'!$D$34</definedName>
    <definedName name="_37h_F37">'К~ д.1 к.3 стр.п.13-16 ЖСК Лимб'!$D$35</definedName>
    <definedName name="_37h_F38">'К~ д.1 к.3 стр.п.13-16 ЖСК Лимб'!$D$36</definedName>
    <definedName name="_37h_F39">'К~ д.1 к.3 стр.п.13-16 ЖСК Лимб'!$D$37</definedName>
    <definedName name="_37h_F40">'К~ д.1 к.3 стр.п.13-16 ЖСК Лимб'!$D$38</definedName>
    <definedName name="_37h_F41">'К~ д.1 к.3 стр.п.13-16 ЖСК Лимб'!$D$39</definedName>
    <definedName name="_37h_F42">'К~ д.1 к.3 стр.п.13-16 ЖСК Лимб'!$D$40</definedName>
    <definedName name="_37h_F43">'К~ д.1 к.3 стр.п.13-16 ЖСК Лимб'!$D$41</definedName>
    <definedName name="_37h_F44">'К~ д.1 к.3 стр.п.13-16 ЖСК Лимб'!$D$42</definedName>
    <definedName name="_37h_F45">'К~ д.1 к.3 стр.п.13-16 ЖСК Лимб'!$D$43</definedName>
    <definedName name="_37h_F46">'К~ д.1 к.3 стр.п.13-16 ЖСК Лимб'!$D$44</definedName>
    <definedName name="_37h_F47">'К~ д.1 к.3 стр.п.13-16 ЖСК Лимб'!$D$45</definedName>
    <definedName name="_37h_F48">'К~ д.1 к.3 стр.п.13-16 ЖСК Лимб'!$D$46</definedName>
    <definedName name="_37h_F49">'К~ д.1 к.3 стр.п.13-16 ЖСК Лимб'!$D$47</definedName>
    <definedName name="_37h_F50">'К~ д.1 к.3 стр.п.13-16 ЖСК Лимб'!$D$48</definedName>
    <definedName name="_37h_F51">'К~ д.1 к.3 стр.п.13-16 ЖСК Лимб'!$D$49</definedName>
    <definedName name="_37h_F52">'К~ д.1 к.3 стр.п.13-16 ЖСК Лимб'!#REF!</definedName>
    <definedName name="_37h_F53">'К~ д.1 к.3 стр.п.13-16 ЖСК Лимб'!$D$50</definedName>
    <definedName name="_37h_F54">'К~ д.1 к.3 стр.п.13-16 ЖСК Лимб'!$D$51</definedName>
    <definedName name="_37h_F55">'К~ д.1 к.3 стр.п.13-16 ЖСК Лимб'!$D$52</definedName>
    <definedName name="_37h_F56">'К~ д.1 к.3 стр.п.13-16 ЖСК Лимб'!$D$53</definedName>
    <definedName name="_37h_F57">'К~ д.1 к.3 стр.п.13-16 ЖСК Лимб'!$D$54</definedName>
    <definedName name="_37h_F58">'К~ д.1 к.3 стр.п.13-16 ЖСК Лимб'!$D$55</definedName>
    <definedName name="_37h_F59">'К~ д.1 к.3 стр.п.13-16 ЖСК Лимб'!$D$56</definedName>
    <definedName name="_37h_F60">'К~ д.1 к.3 стр.п.13-16 ЖСК Лимб'!$D$57</definedName>
    <definedName name="_37h_F61">'К~ д.1 к.3 стр.п.13-16 ЖСК Лимб'!$D$58</definedName>
    <definedName name="_37h_F62">'К~ д.1 к.3 стр.п.13-16 ЖСК Лимб'!$D$59</definedName>
    <definedName name="_37h_F63">'К~ д.1 к.3 стр.п.13-16 ЖСК Лимб'!#REF!</definedName>
    <definedName name="_37h_F64">'К~ д.1 к.3 стр.п.13-16 ЖСК Лимб'!$D$60</definedName>
    <definedName name="_37h_F65">'К~ д.1 к.3 стр.п.13-16 ЖСК Лимб'!$D$61</definedName>
    <definedName name="_37h_F7">'К~ д.1 к.3 стр.п.13-16 ЖСК Лимб'!$D$5</definedName>
    <definedName name="_37h_F8">'К~ д.1 к.3 стр.п.13-16 ЖСК Лимб'!$D$6</definedName>
    <definedName name="_37h_F9">'К~ д.1 к.3 стр.п.13-16 ЖСК Лимб'!$D$7</definedName>
    <definedName name="_38h_E10">'Карамзина пр-д д.5'!$C$8</definedName>
    <definedName name="_38h_E11">'Карамзина пр-д д.5'!$C$9</definedName>
    <definedName name="_38h_E12">'Карамзина пр-д д.5'!$C$10</definedName>
    <definedName name="_38h_E13">'Карамзина пр-д д.5'!$C$11</definedName>
    <definedName name="_38h_E14">'Карамзина пр-д д.5'!$C$12</definedName>
    <definedName name="_38h_E15">'Карамзина пр-д д.5'!$C$13</definedName>
    <definedName name="_38h_E16">'Карамзина пр-д д.5'!$C$14</definedName>
    <definedName name="_38h_E17">'Карамзина пр-д д.5'!$C$15</definedName>
    <definedName name="_38h_E18">'Карамзина пр-д д.5'!$C$16</definedName>
    <definedName name="_38h_E19">'Карамзина пр-д д.5'!$C$17</definedName>
    <definedName name="_38h_E20">'Карамзина пр-д д.5'!$C$18</definedName>
    <definedName name="_38h_E21">'Карамзина пр-д д.5'!$C$19</definedName>
    <definedName name="_38h_E22">'Карамзина пр-д д.5'!$C$20</definedName>
    <definedName name="_38h_E23">'Карамзина пр-д д.5'!$C$21</definedName>
    <definedName name="_38h_E24">'Карамзина пр-д д.5'!$C$22</definedName>
    <definedName name="_38h_E25">'Карамзина пр-д д.5'!$C$23</definedName>
    <definedName name="_38h_E26">'Карамзина пр-д д.5'!$C$24</definedName>
    <definedName name="_38h_E27">'Карамзина пр-д д.5'!$C$25</definedName>
    <definedName name="_38h_E28">'Карамзина пр-д д.5'!$C$26</definedName>
    <definedName name="_38h_E29">'Карамзина пр-д д.5'!$C$27</definedName>
    <definedName name="_38h_E30">'Карамзина пр-д д.5'!$C$28</definedName>
    <definedName name="_38h_E31">'Карамзина пр-д д.5'!$C$29</definedName>
    <definedName name="_38h_E32">'Карамзина пр-д д.5'!$C$30</definedName>
    <definedName name="_38h_E33">'Карамзина пр-д д.5'!$C$31</definedName>
    <definedName name="_38h_E34">'Карамзина пр-д д.5'!$C$32</definedName>
    <definedName name="_38h_E35">'Карамзина пр-д д.5'!$C$33</definedName>
    <definedName name="_38h_E36">'Карамзина пр-д д.5'!$C$34</definedName>
    <definedName name="_38h_E37">'Карамзина пр-д д.5'!$C$35</definedName>
    <definedName name="_38h_E38">'Карамзина пр-д д.5'!$C$36</definedName>
    <definedName name="_38h_E39">'Карамзина пр-д д.5'!$C$37</definedName>
    <definedName name="_38h_E40">'Карамзина пр-д д.5'!$C$38</definedName>
    <definedName name="_38h_E41">'Карамзина пр-д д.5'!$C$39</definedName>
    <definedName name="_38h_E42">'Карамзина пр-д д.5'!$C$40</definedName>
    <definedName name="_38h_E43">'Карамзина пр-д д.5'!$C$41</definedName>
    <definedName name="_38h_E44">'Карамзина пр-д д.5'!$C$42</definedName>
    <definedName name="_38h_E45">'Карамзина пр-д д.5'!$C$43</definedName>
    <definedName name="_38h_E46">'Карамзина пр-д д.5'!$C$44</definedName>
    <definedName name="_38h_E47">'Карамзина пр-д д.5'!$C$45</definedName>
    <definedName name="_38h_E48">'Карамзина пр-д д.5'!$C$46</definedName>
    <definedName name="_38h_E49">'Карамзина пр-д д.5'!$C$47</definedName>
    <definedName name="_38h_E50">'Карамзина пр-д д.5'!$C$48</definedName>
    <definedName name="_38h_E51">'Карамзина пр-д д.5'!$C$49</definedName>
    <definedName name="_38h_E52">'Карамзина пр-д д.5'!#REF!</definedName>
    <definedName name="_38h_E53">'Карамзина пр-д д.5'!$C$50</definedName>
    <definedName name="_38h_E54">'Карамзина пр-д д.5'!$C$51</definedName>
    <definedName name="_38h_E55">'Карамзина пр-д д.5'!$C$52</definedName>
    <definedName name="_38h_E56">'Карамзина пр-д д.5'!$C$53</definedName>
    <definedName name="_38h_E57">'Карамзина пр-д д.5'!$C$54</definedName>
    <definedName name="_38h_E58">'Карамзина пр-д д.5'!$C$55</definedName>
    <definedName name="_38h_E59">'Карамзина пр-д д.5'!$C$56</definedName>
    <definedName name="_38h_E60">'Карамзина пр-д д.5'!$C$57</definedName>
    <definedName name="_38h_E61">'Карамзина пр-д д.5'!$C$58</definedName>
    <definedName name="_38h_E62">'Карамзина пр-д д.5'!$C$59</definedName>
    <definedName name="_38h_E63">'Карамзина пр-д д.5'!#REF!</definedName>
    <definedName name="_38h_E64">'Карамзина пр-д д.5'!$C$60</definedName>
    <definedName name="_38h_E65">'Карамзина пр-д д.5'!$C$61</definedName>
    <definedName name="_38h_E7">'Карамзина пр-д д.5'!$C$5</definedName>
    <definedName name="_38h_E8">'Карамзина пр-д д.5'!$C$6</definedName>
    <definedName name="_38h_E9">'Карамзина пр-д д.5'!$C$7</definedName>
    <definedName name="_38h_F10">'Карамзина пр-д д.5'!$D$8</definedName>
    <definedName name="_38h_F11">'Карамзина пр-д д.5'!$D$9</definedName>
    <definedName name="_38h_F12">'Карамзина пр-д д.5'!$D$10</definedName>
    <definedName name="_38h_F13">'Карамзина пр-д д.5'!$D$11</definedName>
    <definedName name="_38h_F14">'Карамзина пр-д д.5'!$D$12</definedName>
    <definedName name="_38h_F15">'Карамзина пр-д д.5'!$D$13</definedName>
    <definedName name="_38h_F16">'Карамзина пр-д д.5'!$D$14</definedName>
    <definedName name="_38h_F17">'Карамзина пр-д д.5'!$D$15</definedName>
    <definedName name="_38h_F18">'Карамзина пр-д д.5'!$D$16</definedName>
    <definedName name="_38h_F19">'Карамзина пр-д д.5'!$D$17</definedName>
    <definedName name="_38h_F20">'Карамзина пр-д д.5'!$D$18</definedName>
    <definedName name="_38h_F21">'Карамзина пр-д д.5'!$D$19</definedName>
    <definedName name="_38h_F22">'Карамзина пр-д д.5'!$D$20</definedName>
    <definedName name="_38h_F23">'Карамзина пр-д д.5'!$D$21</definedName>
    <definedName name="_38h_F24">'Карамзина пр-д д.5'!$D$22</definedName>
    <definedName name="_38h_F25">'Карамзина пр-д д.5'!$D$23</definedName>
    <definedName name="_38h_F26">'Карамзина пр-д д.5'!$D$24</definedName>
    <definedName name="_38h_F27">'Карамзина пр-д д.5'!$D$25</definedName>
    <definedName name="_38h_F28">'Карамзина пр-д д.5'!$D$26</definedName>
    <definedName name="_38h_F29">'Карамзина пр-д д.5'!$D$27</definedName>
    <definedName name="_38h_F30">'Карамзина пр-д д.5'!$D$28</definedName>
    <definedName name="_38h_F31">'Карамзина пр-д д.5'!$D$29</definedName>
    <definedName name="_38h_F32">'Карамзина пр-д д.5'!$D$30</definedName>
    <definedName name="_38h_F33">'Карамзина пр-д д.5'!$D$31</definedName>
    <definedName name="_38h_F34">'Карамзина пр-д д.5'!$D$32</definedName>
    <definedName name="_38h_F35">'Карамзина пр-д д.5'!$D$33</definedName>
    <definedName name="_38h_F36">'Карамзина пр-д д.5'!$D$34</definedName>
    <definedName name="_38h_F37">'Карамзина пр-д д.5'!$D$35</definedName>
    <definedName name="_38h_F38">'Карамзина пр-д д.5'!$D$36</definedName>
    <definedName name="_38h_F39">'Карамзина пр-д д.5'!$D$37</definedName>
    <definedName name="_38h_F40">'Карамзина пр-д д.5'!$D$38</definedName>
    <definedName name="_38h_F41">'Карамзина пр-д д.5'!$D$39</definedName>
    <definedName name="_38h_F42">'Карамзина пр-д д.5'!$D$40</definedName>
    <definedName name="_38h_F43">'Карамзина пр-д д.5'!$D$41</definedName>
    <definedName name="_38h_F44">'Карамзина пр-д д.5'!$D$42</definedName>
    <definedName name="_38h_F45">'Карамзина пр-д д.5'!$D$43</definedName>
    <definedName name="_38h_F46">'Карамзина пр-д д.5'!$D$44</definedName>
    <definedName name="_38h_F47">'Карамзина пр-д д.5'!$D$45</definedName>
    <definedName name="_38h_F48">'Карамзина пр-д д.5'!$D$46</definedName>
    <definedName name="_38h_F49">'Карамзина пр-д д.5'!$D$47</definedName>
    <definedName name="_38h_F50">'Карамзина пр-д д.5'!$D$48</definedName>
    <definedName name="_38h_F51">'Карамзина пр-д д.5'!$D$49</definedName>
    <definedName name="_38h_F52">'Карамзина пр-д д.5'!#REF!</definedName>
    <definedName name="_38h_F53">'Карамзина пр-д д.5'!$D$50</definedName>
    <definedName name="_38h_F54">'Карамзина пр-д д.5'!$D$51</definedName>
    <definedName name="_38h_F55">'Карамзина пр-д д.5'!$D$52</definedName>
    <definedName name="_38h_F56">'Карамзина пр-д д.5'!$D$53</definedName>
    <definedName name="_38h_F57">'Карамзина пр-д д.5'!$D$54</definedName>
    <definedName name="_38h_F58">'Карамзина пр-д д.5'!$D$55</definedName>
    <definedName name="_38h_F59">'Карамзина пр-д д.5'!$D$56</definedName>
    <definedName name="_38h_F60">'Карамзина пр-д д.5'!$D$57</definedName>
    <definedName name="_38h_F61">'Карамзина пр-д д.5'!$D$58</definedName>
    <definedName name="_38h_F62">'Карамзина пр-д д.5'!$D$59</definedName>
    <definedName name="_38h_F63">'Карамзина пр-д д.5'!#REF!</definedName>
    <definedName name="_38h_F64">'Карамзина пр-д д.5'!$D$60</definedName>
    <definedName name="_38h_F65">'Карамзина пр-д д.5'!$D$61</definedName>
    <definedName name="_38h_F7">'Карамзина пр-д д.5'!$D$5</definedName>
    <definedName name="_38h_F8">'Карамзина пр-д д.5'!$D$6</definedName>
    <definedName name="_38h_F9">'Карамзина пр-д д.5'!$D$7</definedName>
    <definedName name="_39h_E10">'Карамзина пр-д д.13 к.1'!$C$8</definedName>
    <definedName name="_39h_E11">'Карамзина пр-д д.13 к.1'!$C$9</definedName>
    <definedName name="_39h_E12">'Карамзина пр-д д.13 к.1'!$C$10</definedName>
    <definedName name="_39h_E13">'Карамзина пр-д д.13 к.1'!$C$11</definedName>
    <definedName name="_39h_E14">'Карамзина пр-д д.13 к.1'!$C$12</definedName>
    <definedName name="_39h_E15">'Карамзина пр-д д.13 к.1'!$C$13</definedName>
    <definedName name="_39h_E16">'Карамзина пр-д д.13 к.1'!$C$14</definedName>
    <definedName name="_39h_E17">'Карамзина пр-д д.13 к.1'!$C$15</definedName>
    <definedName name="_39h_E18">'Карамзина пр-д д.13 к.1'!$C$16</definedName>
    <definedName name="_39h_E19">'Карамзина пр-д д.13 к.1'!$C$17</definedName>
    <definedName name="_39h_E20">'Карамзина пр-д д.13 к.1'!$C$18</definedName>
    <definedName name="_39h_E21">'Карамзина пр-д д.13 к.1'!$C$19</definedName>
    <definedName name="_39h_E22">'Карамзина пр-д д.13 к.1'!$C$20</definedName>
    <definedName name="_39h_E23">'Карамзина пр-д д.13 к.1'!$C$21</definedName>
    <definedName name="_39h_E24">'Карамзина пр-д д.13 к.1'!$C$22</definedName>
    <definedName name="_39h_E25">'Карамзина пр-д д.13 к.1'!$C$23</definedName>
    <definedName name="_39h_E26">'Карамзина пр-д д.13 к.1'!$C$24</definedName>
    <definedName name="_39h_E27">'Карамзина пр-д д.13 к.1'!$C$25</definedName>
    <definedName name="_39h_E28">'Карамзина пр-д д.13 к.1'!$C$26</definedName>
    <definedName name="_39h_E29">'Карамзина пр-д д.13 к.1'!$C$27</definedName>
    <definedName name="_39h_E30">'Карамзина пр-д д.13 к.1'!$C$28</definedName>
    <definedName name="_39h_E31">'Карамзина пр-д д.13 к.1'!$C$29</definedName>
    <definedName name="_39h_E32">'Карамзина пр-д д.13 к.1'!$C$30</definedName>
    <definedName name="_39h_E33">'Карамзина пр-д д.13 к.1'!$C$31</definedName>
    <definedName name="_39h_E34">'Карамзина пр-д д.13 к.1'!$C$32</definedName>
    <definedName name="_39h_E35">'Карамзина пр-д д.13 к.1'!$C$33</definedName>
    <definedName name="_39h_E36">'Карамзина пр-д д.13 к.1'!$C$34</definedName>
    <definedName name="_39h_E37">'Карамзина пр-д д.13 к.1'!$C$35</definedName>
    <definedName name="_39h_E38">'Карамзина пр-д д.13 к.1'!$C$36</definedName>
    <definedName name="_39h_E39">'Карамзина пр-д д.13 к.1'!$C$37</definedName>
    <definedName name="_39h_E40">'Карамзина пр-д д.13 к.1'!$C$38</definedName>
    <definedName name="_39h_E41">'Карамзина пр-д д.13 к.1'!$C$39</definedName>
    <definedName name="_39h_E42">'Карамзина пр-д д.13 к.1'!$C$40</definedName>
    <definedName name="_39h_E43">'Карамзина пр-д д.13 к.1'!$C$41</definedName>
    <definedName name="_39h_E44">'Карамзина пр-д д.13 к.1'!$C$42</definedName>
    <definedName name="_39h_E45">'Карамзина пр-д д.13 к.1'!$C$43</definedName>
    <definedName name="_39h_E46">'Карамзина пр-д д.13 к.1'!$C$44</definedName>
    <definedName name="_39h_E47">'Карамзина пр-д д.13 к.1'!$C$45</definedName>
    <definedName name="_39h_E48">'Карамзина пр-д д.13 к.1'!$C$46</definedName>
    <definedName name="_39h_E49">'Карамзина пр-д д.13 к.1'!$C$47</definedName>
    <definedName name="_39h_E50">'Карамзина пр-д д.13 к.1'!$C$48</definedName>
    <definedName name="_39h_E51">'Карамзина пр-д д.13 к.1'!$C$49</definedName>
    <definedName name="_39h_E52">'Карамзина пр-д д.13 к.1'!#REF!</definedName>
    <definedName name="_39h_E53">'Карамзина пр-д д.13 к.1'!$C$50</definedName>
    <definedName name="_39h_E54">'Карамзина пр-д д.13 к.1'!$C$51</definedName>
    <definedName name="_39h_E55">'Карамзина пр-д д.13 к.1'!$C$52</definedName>
    <definedName name="_39h_E56">'Карамзина пр-д д.13 к.1'!$C$53</definedName>
    <definedName name="_39h_E57">'Карамзина пр-д д.13 к.1'!$C$54</definedName>
    <definedName name="_39h_E58">'Карамзина пр-д д.13 к.1'!$C$55</definedName>
    <definedName name="_39h_E59">'Карамзина пр-д д.13 к.1'!$C$56</definedName>
    <definedName name="_39h_E60">'Карамзина пр-д д.13 к.1'!$C$57</definedName>
    <definedName name="_39h_E61">'Карамзина пр-д д.13 к.1'!$C$58</definedName>
    <definedName name="_39h_E62">'Карамзина пр-д д.13 к.1'!$C$59</definedName>
    <definedName name="_39h_E63">'Карамзина пр-д д.13 к.1'!#REF!</definedName>
    <definedName name="_39h_E64">'Карамзина пр-д д.13 к.1'!$C$60</definedName>
    <definedName name="_39h_E65">'Карамзина пр-д д.13 к.1'!$C$61</definedName>
    <definedName name="_39h_E7">'Карамзина пр-д д.13 к.1'!$C$5</definedName>
    <definedName name="_39h_E8">'Карамзина пр-д д.13 к.1'!$C$6</definedName>
    <definedName name="_39h_E9">'Карамзина пр-д д.13 к.1'!$C$7</definedName>
    <definedName name="_39h_F10">'Карамзина пр-д д.13 к.1'!$D$8</definedName>
    <definedName name="_39h_F11">'Карамзина пр-д д.13 к.1'!$D$9</definedName>
    <definedName name="_39h_F12">'Карамзина пр-д д.13 к.1'!$D$10</definedName>
    <definedName name="_39h_F13">'Карамзина пр-д д.13 к.1'!$D$11</definedName>
    <definedName name="_39h_F14">'Карамзина пр-д д.13 к.1'!$D$12</definedName>
    <definedName name="_39h_F15">'Карамзина пр-д д.13 к.1'!$D$13</definedName>
    <definedName name="_39h_F16">'Карамзина пр-д д.13 к.1'!$D$14</definedName>
    <definedName name="_39h_F17">'Карамзина пр-д д.13 к.1'!$D$15</definedName>
    <definedName name="_39h_F18">'Карамзина пр-д д.13 к.1'!$D$16</definedName>
    <definedName name="_39h_F19">'Карамзина пр-д д.13 к.1'!$D$17</definedName>
    <definedName name="_39h_F20">'Карамзина пр-д д.13 к.1'!$D$18</definedName>
    <definedName name="_39h_F21">'Карамзина пр-д д.13 к.1'!$D$19</definedName>
    <definedName name="_39h_F22">'Карамзина пр-д д.13 к.1'!$D$20</definedName>
    <definedName name="_39h_F23">'Карамзина пр-д д.13 к.1'!$D$21</definedName>
    <definedName name="_39h_F24">'Карамзина пр-д д.13 к.1'!$D$22</definedName>
    <definedName name="_39h_F25">'Карамзина пр-д д.13 к.1'!$D$23</definedName>
    <definedName name="_39h_F26">'Карамзина пр-д д.13 к.1'!$D$24</definedName>
    <definedName name="_39h_F27">'Карамзина пр-д д.13 к.1'!$D$25</definedName>
    <definedName name="_39h_F28">'Карамзина пр-д д.13 к.1'!$D$26</definedName>
    <definedName name="_39h_F29">'Карамзина пр-д д.13 к.1'!$D$27</definedName>
    <definedName name="_39h_F30">'Карамзина пр-д д.13 к.1'!$D$28</definedName>
    <definedName name="_39h_F31">'Карамзина пр-д д.13 к.1'!$D$29</definedName>
    <definedName name="_39h_F32">'Карамзина пр-д д.13 к.1'!$D$30</definedName>
    <definedName name="_39h_F33">'Карамзина пр-д д.13 к.1'!$D$31</definedName>
    <definedName name="_39h_F34">'Карамзина пр-д д.13 к.1'!$D$32</definedName>
    <definedName name="_39h_F35">'Карамзина пр-д д.13 к.1'!$D$33</definedName>
    <definedName name="_39h_F36">'Карамзина пр-д д.13 к.1'!$D$34</definedName>
    <definedName name="_39h_F37">'Карамзина пр-д д.13 к.1'!$D$35</definedName>
    <definedName name="_39h_F38">'Карамзина пр-д д.13 к.1'!$D$36</definedName>
    <definedName name="_39h_F39">'Карамзина пр-д д.13 к.1'!$D$37</definedName>
    <definedName name="_39h_F40">'Карамзина пр-д д.13 к.1'!$D$38</definedName>
    <definedName name="_39h_F41">'Карамзина пр-д д.13 к.1'!$D$39</definedName>
    <definedName name="_39h_F42">'Карамзина пр-д д.13 к.1'!$D$40</definedName>
    <definedName name="_39h_F43">'Карамзина пр-д д.13 к.1'!$D$41</definedName>
    <definedName name="_39h_F44">'Карамзина пр-д д.13 к.1'!$D$42</definedName>
    <definedName name="_39h_F45">'Карамзина пр-д д.13 к.1'!$D$43</definedName>
    <definedName name="_39h_F46">'Карамзина пр-д д.13 к.1'!$D$44</definedName>
    <definedName name="_39h_F47">'Карамзина пр-д д.13 к.1'!$D$45</definedName>
    <definedName name="_39h_F48">'Карамзина пр-д д.13 к.1'!$D$46</definedName>
    <definedName name="_39h_F49">'Карамзина пр-д д.13 к.1'!$D$47</definedName>
    <definedName name="_39h_F50">'Карамзина пр-д д.13 к.1'!$D$48</definedName>
    <definedName name="_39h_F51">'Карамзина пр-д д.13 к.1'!$D$49</definedName>
    <definedName name="_39h_F52">'Карамзина пр-д д.13 к.1'!#REF!</definedName>
    <definedName name="_39h_F53">'Карамзина пр-д д.13 к.1'!$D$50</definedName>
    <definedName name="_39h_F54">'Карамзина пр-д д.13 к.1'!$D$51</definedName>
    <definedName name="_39h_F55">'Карамзина пр-д д.13 к.1'!$D$52</definedName>
    <definedName name="_39h_F56">'Карамзина пр-д д.13 к.1'!$D$53</definedName>
    <definedName name="_39h_F57">'Карамзина пр-д д.13 к.1'!$D$54</definedName>
    <definedName name="_39h_F58">'Карамзина пр-д д.13 к.1'!$D$55</definedName>
    <definedName name="_39h_F59">'Карамзина пр-д д.13 к.1'!$D$56</definedName>
    <definedName name="_39h_F60">'Карамзина пр-д д.13 к.1'!$D$57</definedName>
    <definedName name="_39h_F61">'Карамзина пр-д д.13 к.1'!$D$58</definedName>
    <definedName name="_39h_F62">'Карамзина пр-д д.13 к.1'!$D$59</definedName>
    <definedName name="_39h_F63">'Карамзина пр-д д.13 к.1'!#REF!</definedName>
    <definedName name="_39h_F64">'Карамзина пр-д д.13 к.1'!$D$60</definedName>
    <definedName name="_39h_F65">'Карамзина пр-д д.13 к.1'!$D$61</definedName>
    <definedName name="_39h_F7">'Карамзина пр-д д.13 к.1'!$D$5</definedName>
    <definedName name="_39h_F8">'Карамзина пр-д д.13 к.1'!$D$6</definedName>
    <definedName name="_39h_F9">'Карамзина пр-д д.13 к.1'!$D$7</definedName>
    <definedName name="_3h_E10">'Айвазовского д.5 к.1'!$C$8</definedName>
    <definedName name="_3h_E11">'Айвазовского д.5 к.1'!$C$9</definedName>
    <definedName name="_3h_E12">'Айвазовского д.5 к.1'!$C$10</definedName>
    <definedName name="_3h_E13">'Айвазовского д.5 к.1'!$C$11</definedName>
    <definedName name="_3h_E14">'Айвазовского д.5 к.1'!$C$12</definedName>
    <definedName name="_3h_E15">'Айвазовского д.5 к.1'!$C$13</definedName>
    <definedName name="_3h_E16">'Айвазовского д.5 к.1'!$C$14</definedName>
    <definedName name="_3h_E17">'Айвазовского д.5 к.1'!$C$15</definedName>
    <definedName name="_3h_E18">'Айвазовского д.5 к.1'!$C$16</definedName>
    <definedName name="_3h_E19">'Айвазовского д.5 к.1'!$C$17</definedName>
    <definedName name="_3h_E20">'Айвазовского д.5 к.1'!$C$18</definedName>
    <definedName name="_3h_E21">'Айвазовского д.5 к.1'!$C$19</definedName>
    <definedName name="_3h_E22">'Айвазовского д.5 к.1'!$C$20</definedName>
    <definedName name="_3h_E23">'Айвазовского д.5 к.1'!$C$21</definedName>
    <definedName name="_3h_E24">'Айвазовского д.5 к.1'!$C$22</definedName>
    <definedName name="_3h_E25">'Айвазовского д.5 к.1'!$C$23</definedName>
    <definedName name="_3h_E26">'Айвазовского д.5 к.1'!$C$24</definedName>
    <definedName name="_3h_E27">'Айвазовского д.5 к.1'!$C$25</definedName>
    <definedName name="_3h_E28">'Айвазовского д.5 к.1'!$C$26</definedName>
    <definedName name="_3h_E29">'Айвазовского д.5 к.1'!$C$27</definedName>
    <definedName name="_3h_E30">'Айвазовского д.5 к.1'!$C$28</definedName>
    <definedName name="_3h_E31">'Айвазовского д.5 к.1'!$C$29</definedName>
    <definedName name="_3h_E32">'Айвазовского д.5 к.1'!$C$30</definedName>
    <definedName name="_3h_E33">'Айвазовского д.5 к.1'!$C$31</definedName>
    <definedName name="_3h_E34">'Айвазовского д.5 к.1'!$C$32</definedName>
    <definedName name="_3h_E35">'Айвазовского д.5 к.1'!$C$33</definedName>
    <definedName name="_3h_E36">'Айвазовского д.5 к.1'!$C$34</definedName>
    <definedName name="_3h_E37">'Айвазовского д.5 к.1'!$C$35</definedName>
    <definedName name="_3h_E38">'Айвазовского д.5 к.1'!$C$36</definedName>
    <definedName name="_3h_E39">'Айвазовского д.5 к.1'!$C$37</definedName>
    <definedName name="_3h_E40">'Айвазовского д.5 к.1'!$C$38</definedName>
    <definedName name="_3h_E41">'Айвазовского д.5 к.1'!$C$39</definedName>
    <definedName name="_3h_E42">'Айвазовского д.5 к.1'!$C$40</definedName>
    <definedName name="_3h_E43">'Айвазовского д.5 к.1'!$C$41</definedName>
    <definedName name="_3h_E44">'Айвазовского д.5 к.1'!$C$42</definedName>
    <definedName name="_3h_E45">'Айвазовского д.5 к.1'!$C$43</definedName>
    <definedName name="_3h_E46">'Айвазовского д.5 к.1'!$C$44</definedName>
    <definedName name="_3h_E47">'Айвазовского д.5 к.1'!$C$45</definedName>
    <definedName name="_3h_E48">'Айвазовского д.5 к.1'!$C$46</definedName>
    <definedName name="_3h_E49">'Айвазовского д.5 к.1'!$C$47</definedName>
    <definedName name="_3h_E50">'Айвазовского д.5 к.1'!$C$48</definedName>
    <definedName name="_3h_E51">'Айвазовского д.5 к.1'!$C$49</definedName>
    <definedName name="_3h_E52">'Айвазовского д.5 к.1'!#REF!</definedName>
    <definedName name="_3h_E53">'Айвазовского д.5 к.1'!$C$50</definedName>
    <definedName name="_3h_E54">'Айвазовского д.5 к.1'!$C$51</definedName>
    <definedName name="_3h_E55">'Айвазовского д.5 к.1'!$C$52</definedName>
    <definedName name="_3h_E56">'Айвазовского д.5 к.1'!$C$53</definedName>
    <definedName name="_3h_E57">'Айвазовского д.5 к.1'!$C$54</definedName>
    <definedName name="_3h_E58">'Айвазовского д.5 к.1'!$C$55</definedName>
    <definedName name="_3h_E59">'Айвазовского д.5 к.1'!$C$56</definedName>
    <definedName name="_3h_E60">'Айвазовского д.5 к.1'!$C$57</definedName>
    <definedName name="_3h_E61">'Айвазовского д.5 к.1'!$C$58</definedName>
    <definedName name="_3h_E62">'Айвазовского д.5 к.1'!$C$59</definedName>
    <definedName name="_3h_E63">'Айвазовского д.5 к.1'!#REF!</definedName>
    <definedName name="_3h_E64">'Айвазовского д.5 к.1'!$C$60</definedName>
    <definedName name="_3h_E65">'Айвазовского д.5 к.1'!$C$61</definedName>
    <definedName name="_3h_E7">'Айвазовского д.5 к.1'!$C$5</definedName>
    <definedName name="_3h_E8">'Айвазовского д.5 к.1'!$C$6</definedName>
    <definedName name="_3h_E9">'Айвазовского д.5 к.1'!$C$7</definedName>
    <definedName name="_3h_F10">'Айвазовского д.5 к.1'!$D$8</definedName>
    <definedName name="_3h_F11">'Айвазовского д.5 к.1'!$D$9</definedName>
    <definedName name="_3h_F12">'Айвазовского д.5 к.1'!$D$10</definedName>
    <definedName name="_3h_F13">'Айвазовского д.5 к.1'!$D$11</definedName>
    <definedName name="_3h_F14">'Айвазовского д.5 к.1'!$D$12</definedName>
    <definedName name="_3h_F15">'Айвазовского д.5 к.1'!$D$13</definedName>
    <definedName name="_3h_F16">'Айвазовского д.5 к.1'!$D$14</definedName>
    <definedName name="_3h_F17">'Айвазовского д.5 к.1'!$D$15</definedName>
    <definedName name="_3h_F18">'Айвазовского д.5 к.1'!$D$16</definedName>
    <definedName name="_3h_F19">'Айвазовского д.5 к.1'!$D$17</definedName>
    <definedName name="_3h_F20">'Айвазовского д.5 к.1'!$D$18</definedName>
    <definedName name="_3h_F21">'Айвазовского д.5 к.1'!$D$19</definedName>
    <definedName name="_3h_F22">'Айвазовского д.5 к.1'!$D$20</definedName>
    <definedName name="_3h_F23">'Айвазовского д.5 к.1'!$D$21</definedName>
    <definedName name="_3h_F24">'Айвазовского д.5 к.1'!$D$22</definedName>
    <definedName name="_3h_F25">'Айвазовского д.5 к.1'!$D$23</definedName>
    <definedName name="_3h_F26">'Айвазовского д.5 к.1'!$D$24</definedName>
    <definedName name="_3h_F27">'Айвазовского д.5 к.1'!$D$25</definedName>
    <definedName name="_3h_F28">'Айвазовского д.5 к.1'!$D$26</definedName>
    <definedName name="_3h_F29">'Айвазовского д.5 к.1'!$D$27</definedName>
    <definedName name="_3h_F30">'Айвазовского д.5 к.1'!$D$28</definedName>
    <definedName name="_3h_F31">'Айвазовского д.5 к.1'!$D$29</definedName>
    <definedName name="_3h_F32">'Айвазовского д.5 к.1'!$D$30</definedName>
    <definedName name="_3h_F33">'Айвазовского д.5 к.1'!$D$31</definedName>
    <definedName name="_3h_F34">'Айвазовского д.5 к.1'!$D$32</definedName>
    <definedName name="_3h_F35">'Айвазовского д.5 к.1'!$D$33</definedName>
    <definedName name="_3h_F36">'Айвазовского д.5 к.1'!$D$34</definedName>
    <definedName name="_3h_F37">'Айвазовского д.5 к.1'!$D$35</definedName>
    <definedName name="_3h_F38">'Айвазовского д.5 к.1'!$D$36</definedName>
    <definedName name="_3h_F39">'Айвазовского д.5 к.1'!$D$37</definedName>
    <definedName name="_3h_F40">'Айвазовского д.5 к.1'!$D$38</definedName>
    <definedName name="_3h_F41">'Айвазовского д.5 к.1'!$D$39</definedName>
    <definedName name="_3h_F42">'Айвазовского д.5 к.1'!$D$40</definedName>
    <definedName name="_3h_F43">'Айвазовского д.5 к.1'!$D$41</definedName>
    <definedName name="_3h_F44">'Айвазовского д.5 к.1'!$D$42</definedName>
    <definedName name="_3h_F45">'Айвазовского д.5 к.1'!$D$43</definedName>
    <definedName name="_3h_F46">'Айвазовского д.5 к.1'!$D$44</definedName>
    <definedName name="_3h_F47">'Айвазовского д.5 к.1'!$D$45</definedName>
    <definedName name="_3h_F48">'Айвазовского д.5 к.1'!$D$46</definedName>
    <definedName name="_3h_F49">'Айвазовского д.5 к.1'!$D$47</definedName>
    <definedName name="_3h_F50">'Айвазовского д.5 к.1'!$D$48</definedName>
    <definedName name="_3h_F51">'Айвазовского д.5 к.1'!$D$49</definedName>
    <definedName name="_3h_F52">'Айвазовского д.5 к.1'!#REF!</definedName>
    <definedName name="_3h_F53">'Айвазовского д.5 к.1'!$D$50</definedName>
    <definedName name="_3h_F54">'Айвазовского д.5 к.1'!$D$51</definedName>
    <definedName name="_3h_F55">'Айвазовского д.5 к.1'!$D$52</definedName>
    <definedName name="_3h_F56">'Айвазовского д.5 к.1'!$D$53</definedName>
    <definedName name="_3h_F57">'Айвазовского д.5 к.1'!$D$54</definedName>
    <definedName name="_3h_F58">'Айвазовского д.5 к.1'!$D$55</definedName>
    <definedName name="_3h_F59">'Айвазовского д.5 к.1'!$D$56</definedName>
    <definedName name="_3h_F60">'Айвазовского д.5 к.1'!$D$57</definedName>
    <definedName name="_3h_F61">'Айвазовского д.5 к.1'!$D$58</definedName>
    <definedName name="_3h_F62">'Айвазовского д.5 к.1'!$D$59</definedName>
    <definedName name="_3h_F63">'Айвазовского д.5 к.1'!#REF!</definedName>
    <definedName name="_3h_F64">'Айвазовского д.5 к.1'!$D$60</definedName>
    <definedName name="_3h_F65">'Айвазовского д.5 к.1'!$D$61</definedName>
    <definedName name="_3h_F7">'Айвазовского д.5 к.1'!$D$5</definedName>
    <definedName name="_3h_F8">'Айвазовского д.5 к.1'!$D$6</definedName>
    <definedName name="_3h_F9">'Айвазовского д.5 к.1'!$D$7</definedName>
    <definedName name="_40h_E10">'Литовский б-р д.1'!$C$8</definedName>
    <definedName name="_40h_E11">'Литовский б-р д.1'!$C$9</definedName>
    <definedName name="_40h_E12">'Литовский б-р д.1'!$C$10</definedName>
    <definedName name="_40h_E13">'Литовский б-р д.1'!$C$11</definedName>
    <definedName name="_40h_E14">'Литовский б-р д.1'!$C$12</definedName>
    <definedName name="_40h_E15">'Литовский б-р д.1'!$C$13</definedName>
    <definedName name="_40h_E16">'Литовский б-р д.1'!$C$14</definedName>
    <definedName name="_40h_E17">'Литовский б-р д.1'!$C$15</definedName>
    <definedName name="_40h_E18">'Литовский б-р д.1'!$C$16</definedName>
    <definedName name="_40h_E19">'Литовский б-р д.1'!$C$17</definedName>
    <definedName name="_40h_E20">'Литовский б-р д.1'!$C$18</definedName>
    <definedName name="_40h_E21">'Литовский б-р д.1'!$C$19</definedName>
    <definedName name="_40h_E22">'Литовский б-р д.1'!$C$20</definedName>
    <definedName name="_40h_E23">'Литовский б-р д.1'!$C$21</definedName>
    <definedName name="_40h_E24">'Литовский б-р д.1'!$C$22</definedName>
    <definedName name="_40h_E25">'Литовский б-р д.1'!$C$23</definedName>
    <definedName name="_40h_E26">'Литовский б-р д.1'!$C$24</definedName>
    <definedName name="_40h_E27">'Литовский б-р д.1'!$C$25</definedName>
    <definedName name="_40h_E28">'Литовский б-р д.1'!$C$26</definedName>
    <definedName name="_40h_E29">'Литовский б-р д.1'!$C$27</definedName>
    <definedName name="_40h_E30">'Литовский б-р д.1'!$C$28</definedName>
    <definedName name="_40h_E31">'Литовский б-р д.1'!$C$29</definedName>
    <definedName name="_40h_E32">'Литовский б-р д.1'!$C$30</definedName>
    <definedName name="_40h_E33">'Литовский б-р д.1'!$C$31</definedName>
    <definedName name="_40h_E34">'Литовский б-р д.1'!$C$32</definedName>
    <definedName name="_40h_E35">'Литовский б-р д.1'!$C$33</definedName>
    <definedName name="_40h_E36">'Литовский б-р д.1'!$C$34</definedName>
    <definedName name="_40h_E37">'Литовский б-р д.1'!$C$35</definedName>
    <definedName name="_40h_E38">'Литовский б-р д.1'!$C$36</definedName>
    <definedName name="_40h_E39">'Литовский б-р д.1'!$C$37</definedName>
    <definedName name="_40h_E40">'Литовский б-р д.1'!$C$38</definedName>
    <definedName name="_40h_E41">'Литовский б-р д.1'!$C$39</definedName>
    <definedName name="_40h_E42">'Литовский б-р д.1'!$C$40</definedName>
    <definedName name="_40h_E43">'Литовский б-р д.1'!$C$41</definedName>
    <definedName name="_40h_E44">'Литовский б-р д.1'!$C$42</definedName>
    <definedName name="_40h_E45">'Литовский б-р д.1'!$C$43</definedName>
    <definedName name="_40h_E46">'Литовский б-р д.1'!$C$44</definedName>
    <definedName name="_40h_E47">'Литовский б-р д.1'!$C$45</definedName>
    <definedName name="_40h_E48">'Литовский б-р д.1'!$C$46</definedName>
    <definedName name="_40h_E49">'Литовский б-р д.1'!$C$47</definedName>
    <definedName name="_40h_E50">'Литовский б-р д.1'!$C$48</definedName>
    <definedName name="_40h_E51">'Литовский б-р д.1'!$C$49</definedName>
    <definedName name="_40h_E52">'Литовский б-р д.1'!#REF!</definedName>
    <definedName name="_40h_E53">'Литовский б-р д.1'!$C$50</definedName>
    <definedName name="_40h_E54">'Литовский б-р д.1'!$C$51</definedName>
    <definedName name="_40h_E55">'Литовский б-р д.1'!$C$52</definedName>
    <definedName name="_40h_E56">'Литовский б-р д.1'!$C$53</definedName>
    <definedName name="_40h_E57">'Литовский б-р д.1'!$C$54</definedName>
    <definedName name="_40h_E58">'Литовский б-р д.1'!$C$55</definedName>
    <definedName name="_40h_E59">'Литовский б-р д.1'!$C$56</definedName>
    <definedName name="_40h_E60">'Литовский б-р д.1'!$C$57</definedName>
    <definedName name="_40h_E61">'Литовский б-р д.1'!$C$58</definedName>
    <definedName name="_40h_E62">'Литовский б-р д.1'!$C$59</definedName>
    <definedName name="_40h_E63">'Литовский б-р д.1'!#REF!</definedName>
    <definedName name="_40h_E64">'Литовский б-р д.1'!$C$60</definedName>
    <definedName name="_40h_E65">'Литовский б-р д.1'!$C$61</definedName>
    <definedName name="_40h_E7">'Литовский б-р д.1'!$C$5</definedName>
    <definedName name="_40h_E8">'Литовский б-р д.1'!$C$6</definedName>
    <definedName name="_40h_E9">'Литовский б-р д.1'!$C$7</definedName>
    <definedName name="_40h_F10">'Литовский б-р д.1'!$D$8</definedName>
    <definedName name="_40h_F11">'Литовский б-р д.1'!$D$9</definedName>
    <definedName name="_40h_F12">'Литовский б-р д.1'!$D$10</definedName>
    <definedName name="_40h_F13">'Литовский б-р д.1'!$D$11</definedName>
    <definedName name="_40h_F14">'Литовский б-р д.1'!$D$12</definedName>
    <definedName name="_40h_F15">'Литовский б-р д.1'!$D$13</definedName>
    <definedName name="_40h_F16">'Литовский б-р д.1'!$D$14</definedName>
    <definedName name="_40h_F17">'Литовский б-р д.1'!$D$15</definedName>
    <definedName name="_40h_F18">'Литовский б-р д.1'!$D$16</definedName>
    <definedName name="_40h_F19">'Литовский б-р д.1'!$D$17</definedName>
    <definedName name="_40h_F20">'Литовский б-р д.1'!$D$18</definedName>
    <definedName name="_40h_F21">'Литовский б-р д.1'!$D$19</definedName>
    <definedName name="_40h_F22">'Литовский б-р д.1'!$D$20</definedName>
    <definedName name="_40h_F23">'Литовский б-р д.1'!$D$21</definedName>
    <definedName name="_40h_F24">'Литовский б-р д.1'!$D$22</definedName>
    <definedName name="_40h_F25">'Литовский б-р д.1'!$D$23</definedName>
    <definedName name="_40h_F26">'Литовский б-р д.1'!$D$24</definedName>
    <definedName name="_40h_F27">'Литовский б-р д.1'!$D$25</definedName>
    <definedName name="_40h_F28">'Литовский б-р д.1'!$D$26</definedName>
    <definedName name="_40h_F29">'Литовский б-р д.1'!$D$27</definedName>
    <definedName name="_40h_F30">'Литовский б-р д.1'!$D$28</definedName>
    <definedName name="_40h_F31">'Литовский б-р д.1'!$D$29</definedName>
    <definedName name="_40h_F32">'Литовский б-р д.1'!$D$30</definedName>
    <definedName name="_40h_F33">'Литовский б-р д.1'!$D$31</definedName>
    <definedName name="_40h_F34">'Литовский б-р д.1'!$D$32</definedName>
    <definedName name="_40h_F35">'Литовский б-р д.1'!$D$33</definedName>
    <definedName name="_40h_F36">'Литовский б-р д.1'!$D$34</definedName>
    <definedName name="_40h_F37">'Литовский б-р д.1'!$D$35</definedName>
    <definedName name="_40h_F38">'Литовский б-р д.1'!$D$36</definedName>
    <definedName name="_40h_F39">'Литовский б-р д.1'!$D$37</definedName>
    <definedName name="_40h_F40">'Литовский б-р д.1'!$D$38</definedName>
    <definedName name="_40h_F41">'Литовский б-р д.1'!$D$39</definedName>
    <definedName name="_40h_F42">'Литовский б-р д.1'!$D$40</definedName>
    <definedName name="_40h_F43">'Литовский б-р д.1'!$D$41</definedName>
    <definedName name="_40h_F44">'Литовский б-р д.1'!$D$42</definedName>
    <definedName name="_40h_F45">'Литовский б-р д.1'!$D$43</definedName>
    <definedName name="_40h_F46">'Литовский б-р д.1'!$D$44</definedName>
    <definedName name="_40h_F47">'Литовский б-р д.1'!$D$45</definedName>
    <definedName name="_40h_F48">'Литовский б-р д.1'!$D$46</definedName>
    <definedName name="_40h_F49">'Литовский б-р д.1'!$D$47</definedName>
    <definedName name="_40h_F50">'Литовский б-р д.1'!$D$48</definedName>
    <definedName name="_40h_F51">'Литовский б-р д.1'!$D$49</definedName>
    <definedName name="_40h_F52">'Литовский б-р д.1'!#REF!</definedName>
    <definedName name="_40h_F53">'Литовский б-р д.1'!$D$50</definedName>
    <definedName name="_40h_F54">'Литовский б-р д.1'!$D$51</definedName>
    <definedName name="_40h_F55">'Литовский б-р д.1'!$D$52</definedName>
    <definedName name="_40h_F56">'Литовский б-р д.1'!$D$53</definedName>
    <definedName name="_40h_F57">'Литовский б-р д.1'!$D$54</definedName>
    <definedName name="_40h_F58">'Литовский б-р д.1'!$D$55</definedName>
    <definedName name="_40h_F59">'Литовский б-р д.1'!$D$56</definedName>
    <definedName name="_40h_F60">'Литовский б-р д.1'!$D$57</definedName>
    <definedName name="_40h_F61">'Литовский б-р д.1'!$D$58</definedName>
    <definedName name="_40h_F62">'Литовский б-р д.1'!$D$59</definedName>
    <definedName name="_40h_F63">'Литовский б-р д.1'!#REF!</definedName>
    <definedName name="_40h_F64">'Литовский б-р д.1'!$D$60</definedName>
    <definedName name="_40h_F65">'Литовский б-р д.1'!$D$61</definedName>
    <definedName name="_40h_F7">'Литовский б-р д.1'!$D$5</definedName>
    <definedName name="_40h_F8">'Литовский б-р д.1'!$D$6</definedName>
    <definedName name="_40h_F9">'Литовский б-р д.1'!$D$7</definedName>
    <definedName name="_41h_E10">' д.3 к.2 стр.п.1-6,12-13,17-25 '!$C$8</definedName>
    <definedName name="_41h_E11">' д.3 к.2 стр.п.1-6,12-13,17-25 '!$C$9</definedName>
    <definedName name="_41h_E12">' д.3 к.2 стр.п.1-6,12-13,17-25 '!$C$10</definedName>
    <definedName name="_41h_E13">' д.3 к.2 стр.п.1-6,12-13,17-25 '!$C$11</definedName>
    <definedName name="_41h_E14">' д.3 к.2 стр.п.1-6,12-13,17-25 '!$C$12</definedName>
    <definedName name="_41h_E15">' д.3 к.2 стр.п.1-6,12-13,17-25 '!$C$13</definedName>
    <definedName name="_41h_E16">' д.3 к.2 стр.п.1-6,12-13,17-25 '!$C$14</definedName>
    <definedName name="_41h_E17">' д.3 к.2 стр.п.1-6,12-13,17-25 '!$C$15</definedName>
    <definedName name="_41h_E18">' д.3 к.2 стр.п.1-6,12-13,17-25 '!$C$16</definedName>
    <definedName name="_41h_E19">' д.3 к.2 стр.п.1-6,12-13,17-25 '!$C$17</definedName>
    <definedName name="_41h_E20">' д.3 к.2 стр.п.1-6,12-13,17-25 '!$C$18</definedName>
    <definedName name="_41h_E21">' д.3 к.2 стр.п.1-6,12-13,17-25 '!$C$19</definedName>
    <definedName name="_41h_E22">' д.3 к.2 стр.п.1-6,12-13,17-25 '!$C$20</definedName>
    <definedName name="_41h_E23">' д.3 к.2 стр.п.1-6,12-13,17-25 '!$C$21</definedName>
    <definedName name="_41h_E24">' д.3 к.2 стр.п.1-6,12-13,17-25 '!$C$22</definedName>
    <definedName name="_41h_E25">' д.3 к.2 стр.п.1-6,12-13,17-25 '!$C$23</definedName>
    <definedName name="_41h_E26">' д.3 к.2 стр.п.1-6,12-13,17-25 '!$C$24</definedName>
    <definedName name="_41h_E27">' д.3 к.2 стр.п.1-6,12-13,17-25 '!$C$25</definedName>
    <definedName name="_41h_E28">' д.3 к.2 стр.п.1-6,12-13,17-25 '!$C$26</definedName>
    <definedName name="_41h_E29">' д.3 к.2 стр.п.1-6,12-13,17-25 '!$C$27</definedName>
    <definedName name="_41h_E30">' д.3 к.2 стр.п.1-6,12-13,17-25 '!$C$28</definedName>
    <definedName name="_41h_E31">' д.3 к.2 стр.п.1-6,12-13,17-25 '!$C$29</definedName>
    <definedName name="_41h_E32">' д.3 к.2 стр.п.1-6,12-13,17-25 '!$C$30</definedName>
    <definedName name="_41h_E33">' д.3 к.2 стр.п.1-6,12-13,17-25 '!$C$31</definedName>
    <definedName name="_41h_E34">' д.3 к.2 стр.п.1-6,12-13,17-25 '!$C$32</definedName>
    <definedName name="_41h_E35">' д.3 к.2 стр.п.1-6,12-13,17-25 '!$C$33</definedName>
    <definedName name="_41h_E36">' д.3 к.2 стр.п.1-6,12-13,17-25 '!$C$34</definedName>
    <definedName name="_41h_E37">' д.3 к.2 стр.п.1-6,12-13,17-25 '!$C$35</definedName>
    <definedName name="_41h_E38">' д.3 к.2 стр.п.1-6,12-13,17-25 '!$C$36</definedName>
    <definedName name="_41h_E39">' д.3 к.2 стр.п.1-6,12-13,17-25 '!$C$37</definedName>
    <definedName name="_41h_E40">' д.3 к.2 стр.п.1-6,12-13,17-25 '!$C$38</definedName>
    <definedName name="_41h_E41">' д.3 к.2 стр.п.1-6,12-13,17-25 '!$C$39</definedName>
    <definedName name="_41h_E42">' д.3 к.2 стр.п.1-6,12-13,17-25 '!$C$40</definedName>
    <definedName name="_41h_E43">' д.3 к.2 стр.п.1-6,12-13,17-25 '!$C$41</definedName>
    <definedName name="_41h_E44">' д.3 к.2 стр.п.1-6,12-13,17-25 '!$C$42</definedName>
    <definedName name="_41h_E45">' д.3 к.2 стр.п.1-6,12-13,17-25 '!$C$43</definedName>
    <definedName name="_41h_E46">' д.3 к.2 стр.п.1-6,12-13,17-25 '!$C$44</definedName>
    <definedName name="_41h_E47">' д.3 к.2 стр.п.1-6,12-13,17-25 '!$C$45</definedName>
    <definedName name="_41h_E48">' д.3 к.2 стр.п.1-6,12-13,17-25 '!$C$46</definedName>
    <definedName name="_41h_E49">' д.3 к.2 стр.п.1-6,12-13,17-25 '!$C$47</definedName>
    <definedName name="_41h_E50">' д.3 к.2 стр.п.1-6,12-13,17-25 '!$C$48</definedName>
    <definedName name="_41h_E51">' д.3 к.2 стр.п.1-6,12-13,17-25 '!$C$49</definedName>
    <definedName name="_41h_E52">' д.3 к.2 стр.п.1-6,12-13,17-25 '!#REF!</definedName>
    <definedName name="_41h_E53">' д.3 к.2 стр.п.1-6,12-13,17-25 '!$C$50</definedName>
    <definedName name="_41h_E54">' д.3 к.2 стр.п.1-6,12-13,17-25 '!$C$51</definedName>
    <definedName name="_41h_E55">' д.3 к.2 стр.п.1-6,12-13,17-25 '!$C$52</definedName>
    <definedName name="_41h_E56">' д.3 к.2 стр.п.1-6,12-13,17-25 '!$C$53</definedName>
    <definedName name="_41h_E57">' д.3 к.2 стр.п.1-6,12-13,17-25 '!$C$54</definedName>
    <definedName name="_41h_E58">' д.3 к.2 стр.п.1-6,12-13,17-25 '!$C$55</definedName>
    <definedName name="_41h_E59">' д.3 к.2 стр.п.1-6,12-13,17-25 '!$C$56</definedName>
    <definedName name="_41h_E60">' д.3 к.2 стр.п.1-6,12-13,17-25 '!$C$57</definedName>
    <definedName name="_41h_E61">' д.3 к.2 стр.п.1-6,12-13,17-25 '!$C$58</definedName>
    <definedName name="_41h_E62">' д.3 к.2 стр.п.1-6,12-13,17-25 '!$C$59</definedName>
    <definedName name="_41h_E63">' д.3 к.2 стр.п.1-6,12-13,17-25 '!#REF!</definedName>
    <definedName name="_41h_E64">' д.3 к.2 стр.п.1-6,12-13,17-25 '!$C$60</definedName>
    <definedName name="_41h_E65">' д.3 к.2 стр.п.1-6,12-13,17-25 '!$C$61</definedName>
    <definedName name="_41h_E7">' д.3 к.2 стр.п.1-6,12-13,17-25 '!$C$5</definedName>
    <definedName name="_41h_E8">' д.3 к.2 стр.п.1-6,12-13,17-25 '!$C$6</definedName>
    <definedName name="_41h_E9">' д.3 к.2 стр.п.1-6,12-13,17-25 '!$C$7</definedName>
    <definedName name="_41h_F10">' д.3 к.2 стр.п.1-6,12-13,17-25 '!$D$8</definedName>
    <definedName name="_41h_F11">' д.3 к.2 стр.п.1-6,12-13,17-25 '!$D$9</definedName>
    <definedName name="_41h_F12">' д.3 к.2 стр.п.1-6,12-13,17-25 '!$D$10</definedName>
    <definedName name="_41h_F13">' д.3 к.2 стр.п.1-6,12-13,17-25 '!$D$11</definedName>
    <definedName name="_41h_F14">' д.3 к.2 стр.п.1-6,12-13,17-25 '!$D$12</definedName>
    <definedName name="_41h_F15">' д.3 к.2 стр.п.1-6,12-13,17-25 '!$D$13</definedName>
    <definedName name="_41h_F16">' д.3 к.2 стр.п.1-6,12-13,17-25 '!$D$14</definedName>
    <definedName name="_41h_F17">' д.3 к.2 стр.п.1-6,12-13,17-25 '!$D$15</definedName>
    <definedName name="_41h_F18">' д.3 к.2 стр.п.1-6,12-13,17-25 '!$D$16</definedName>
    <definedName name="_41h_F19">' д.3 к.2 стр.п.1-6,12-13,17-25 '!$D$17</definedName>
    <definedName name="_41h_F20">' д.3 к.2 стр.п.1-6,12-13,17-25 '!$D$18</definedName>
    <definedName name="_41h_F21">' д.3 к.2 стр.п.1-6,12-13,17-25 '!$D$19</definedName>
    <definedName name="_41h_F22">' д.3 к.2 стр.п.1-6,12-13,17-25 '!$D$20</definedName>
    <definedName name="_41h_F23">' д.3 к.2 стр.п.1-6,12-13,17-25 '!$D$21</definedName>
    <definedName name="_41h_F24">' д.3 к.2 стр.п.1-6,12-13,17-25 '!$D$22</definedName>
    <definedName name="_41h_F25">' д.3 к.2 стр.п.1-6,12-13,17-25 '!$D$23</definedName>
    <definedName name="_41h_F26">' д.3 к.2 стр.п.1-6,12-13,17-25 '!$D$24</definedName>
    <definedName name="_41h_F27">' д.3 к.2 стр.п.1-6,12-13,17-25 '!$D$25</definedName>
    <definedName name="_41h_F28">' д.3 к.2 стр.п.1-6,12-13,17-25 '!$D$26</definedName>
    <definedName name="_41h_F29">' д.3 к.2 стр.п.1-6,12-13,17-25 '!$D$27</definedName>
    <definedName name="_41h_F30">' д.3 к.2 стр.п.1-6,12-13,17-25 '!$D$28</definedName>
    <definedName name="_41h_F31">' д.3 к.2 стр.п.1-6,12-13,17-25 '!$D$29</definedName>
    <definedName name="_41h_F32">' д.3 к.2 стр.п.1-6,12-13,17-25 '!$D$30</definedName>
    <definedName name="_41h_F33">' д.3 к.2 стр.п.1-6,12-13,17-25 '!$D$31</definedName>
    <definedName name="_41h_F34">' д.3 к.2 стр.п.1-6,12-13,17-25 '!$D$32</definedName>
    <definedName name="_41h_F35">' д.3 к.2 стр.п.1-6,12-13,17-25 '!$D$33</definedName>
    <definedName name="_41h_F36">' д.3 к.2 стр.п.1-6,12-13,17-25 '!$D$34</definedName>
    <definedName name="_41h_F37">' д.3 к.2 стр.п.1-6,12-13,17-25 '!$D$35</definedName>
    <definedName name="_41h_F38">' д.3 к.2 стр.п.1-6,12-13,17-25 '!$D$36</definedName>
    <definedName name="_41h_F39">' д.3 к.2 стр.п.1-6,12-13,17-25 '!$D$37</definedName>
    <definedName name="_41h_F40">' д.3 к.2 стр.п.1-6,12-13,17-25 '!$D$38</definedName>
    <definedName name="_41h_F41">' д.3 к.2 стр.п.1-6,12-13,17-25 '!$D$39</definedName>
    <definedName name="_41h_F42">' д.3 к.2 стр.п.1-6,12-13,17-25 '!$D$40</definedName>
    <definedName name="_41h_F43">' д.3 к.2 стр.п.1-6,12-13,17-25 '!$D$41</definedName>
    <definedName name="_41h_F44">' д.3 к.2 стр.п.1-6,12-13,17-25 '!$D$42</definedName>
    <definedName name="_41h_F45">' д.3 к.2 стр.п.1-6,12-13,17-25 '!$D$43</definedName>
    <definedName name="_41h_F46">' д.3 к.2 стр.п.1-6,12-13,17-25 '!$D$44</definedName>
    <definedName name="_41h_F47">' д.3 к.2 стр.п.1-6,12-13,17-25 '!$D$45</definedName>
    <definedName name="_41h_F48">' д.3 к.2 стр.п.1-6,12-13,17-25 '!$D$46</definedName>
    <definedName name="_41h_F49">' д.3 к.2 стр.п.1-6,12-13,17-25 '!$D$47</definedName>
    <definedName name="_41h_F50">' д.3 к.2 стр.п.1-6,12-13,17-25 '!$D$48</definedName>
    <definedName name="_41h_F51">' д.3 к.2 стр.п.1-6,12-13,17-25 '!$D$49</definedName>
    <definedName name="_41h_F52">' д.3 к.2 стр.п.1-6,12-13,17-25 '!#REF!</definedName>
    <definedName name="_41h_F53">' д.3 к.2 стр.п.1-6,12-13,17-25 '!$D$50</definedName>
    <definedName name="_41h_F54">' д.3 к.2 стр.п.1-6,12-13,17-25 '!$D$51</definedName>
    <definedName name="_41h_F55">' д.3 к.2 стр.п.1-6,12-13,17-25 '!$D$52</definedName>
    <definedName name="_41h_F56">' д.3 к.2 стр.п.1-6,12-13,17-25 '!$D$53</definedName>
    <definedName name="_41h_F57">' д.3 к.2 стр.п.1-6,12-13,17-25 '!$D$54</definedName>
    <definedName name="_41h_F58">' д.3 к.2 стр.п.1-6,12-13,17-25 '!$D$55</definedName>
    <definedName name="_41h_F59">' д.3 к.2 стр.п.1-6,12-13,17-25 '!$D$56</definedName>
    <definedName name="_41h_F60">' д.3 к.2 стр.п.1-6,12-13,17-25 '!$D$57</definedName>
    <definedName name="_41h_F61">' д.3 к.2 стр.п.1-6,12-13,17-25 '!$D$58</definedName>
    <definedName name="_41h_F62">' д.3 к.2 стр.п.1-6,12-13,17-25 '!$D$59</definedName>
    <definedName name="_41h_F63">' д.3 к.2 стр.п.1-6,12-13,17-25 '!#REF!</definedName>
    <definedName name="_41h_F64">' д.3 к.2 стр.п.1-6,12-13,17-25 '!$D$60</definedName>
    <definedName name="_41h_F65">' д.3 к.2 стр.п.1-6,12-13,17-25 '!$D$61</definedName>
    <definedName name="_41h_F7">' д.3 к.2 стр.п.1-6,12-13,17-25 '!$D$5</definedName>
    <definedName name="_41h_F8">' д.3 к.2 стр.п.1-6,12-13,17-25 '!$D$6</definedName>
    <definedName name="_41h_F9">' д.3 к.2 стр.п.1-6,12-13,17-25 '!$D$7</definedName>
    <definedName name="_42h_E10">'~ д.3 к.2 стр.п.7-11 ЖСК Тайфун'!$C$8</definedName>
    <definedName name="_42h_E11">'~ д.3 к.2 стр.п.7-11 ЖСК Тайфун'!$C$9</definedName>
    <definedName name="_42h_E12">'~ д.3 к.2 стр.п.7-11 ЖСК Тайфун'!$C$10</definedName>
    <definedName name="_42h_E13">'~ д.3 к.2 стр.п.7-11 ЖСК Тайфун'!$C$11</definedName>
    <definedName name="_42h_E14">'~ д.3 к.2 стр.п.7-11 ЖСК Тайфун'!$C$12</definedName>
    <definedName name="_42h_E15">'~ д.3 к.2 стр.п.7-11 ЖСК Тайфун'!$C$13</definedName>
    <definedName name="_42h_E16">'~ д.3 к.2 стр.п.7-11 ЖСК Тайфун'!$C$14</definedName>
    <definedName name="_42h_E17">'~ д.3 к.2 стр.п.7-11 ЖСК Тайфун'!$C$15</definedName>
    <definedName name="_42h_E18">'~ д.3 к.2 стр.п.7-11 ЖСК Тайфун'!$C$16</definedName>
    <definedName name="_42h_E19">'~ д.3 к.2 стр.п.7-11 ЖСК Тайфун'!$C$17</definedName>
    <definedName name="_42h_E20">'~ д.3 к.2 стр.п.7-11 ЖСК Тайфун'!$C$18</definedName>
    <definedName name="_42h_E21">'~ д.3 к.2 стр.п.7-11 ЖСК Тайфун'!$C$19</definedName>
    <definedName name="_42h_E22">'~ д.3 к.2 стр.п.7-11 ЖСК Тайфун'!$C$20</definedName>
    <definedName name="_42h_E23">'~ д.3 к.2 стр.п.7-11 ЖСК Тайфун'!$C$21</definedName>
    <definedName name="_42h_E24">'~ д.3 к.2 стр.п.7-11 ЖСК Тайфун'!$C$22</definedName>
    <definedName name="_42h_E25">'~ д.3 к.2 стр.п.7-11 ЖСК Тайфун'!$C$23</definedName>
    <definedName name="_42h_E26">'~ д.3 к.2 стр.п.7-11 ЖСК Тайфун'!$C$24</definedName>
    <definedName name="_42h_E27">'~ д.3 к.2 стр.п.7-11 ЖСК Тайфун'!$C$25</definedName>
    <definedName name="_42h_E28">'~ д.3 к.2 стр.п.7-11 ЖСК Тайфун'!$C$26</definedName>
    <definedName name="_42h_E29">'~ д.3 к.2 стр.п.7-11 ЖСК Тайфун'!$C$27</definedName>
    <definedName name="_42h_E30">'~ д.3 к.2 стр.п.7-11 ЖСК Тайфун'!$C$28</definedName>
    <definedName name="_42h_E31">'~ д.3 к.2 стр.п.7-11 ЖСК Тайфун'!$C$29</definedName>
    <definedName name="_42h_E32">'~ д.3 к.2 стр.п.7-11 ЖСК Тайфун'!$C$30</definedName>
    <definedName name="_42h_E33">'~ д.3 к.2 стр.п.7-11 ЖСК Тайфун'!$C$31</definedName>
    <definedName name="_42h_E34">'~ д.3 к.2 стр.п.7-11 ЖСК Тайфун'!$C$32</definedName>
    <definedName name="_42h_E35">'~ д.3 к.2 стр.п.7-11 ЖСК Тайфун'!$C$33</definedName>
    <definedName name="_42h_E36">'~ д.3 к.2 стр.п.7-11 ЖСК Тайфун'!$C$34</definedName>
    <definedName name="_42h_E37">'~ д.3 к.2 стр.п.7-11 ЖСК Тайфун'!$C$35</definedName>
    <definedName name="_42h_E38">'~ д.3 к.2 стр.п.7-11 ЖСК Тайфун'!$C$36</definedName>
    <definedName name="_42h_E39">'~ д.3 к.2 стр.п.7-11 ЖСК Тайфун'!$C$37</definedName>
    <definedName name="_42h_E40">'~ д.3 к.2 стр.п.7-11 ЖСК Тайфун'!$C$38</definedName>
    <definedName name="_42h_E41">'~ д.3 к.2 стр.п.7-11 ЖСК Тайфун'!$C$39</definedName>
    <definedName name="_42h_E42">'~ д.3 к.2 стр.п.7-11 ЖСК Тайфун'!$C$40</definedName>
    <definedName name="_42h_E43">'~ д.3 к.2 стр.п.7-11 ЖСК Тайфун'!$C$41</definedName>
    <definedName name="_42h_E44">'~ д.3 к.2 стр.п.7-11 ЖСК Тайфун'!$C$42</definedName>
    <definedName name="_42h_E45">'~ д.3 к.2 стр.п.7-11 ЖСК Тайфун'!$C$43</definedName>
    <definedName name="_42h_E46">'~ д.3 к.2 стр.п.7-11 ЖСК Тайфун'!$C$44</definedName>
    <definedName name="_42h_E47">'~ д.3 к.2 стр.п.7-11 ЖСК Тайфун'!$C$45</definedName>
    <definedName name="_42h_E48">'~ д.3 к.2 стр.п.7-11 ЖСК Тайфун'!$C$46</definedName>
    <definedName name="_42h_E49">'~ д.3 к.2 стр.п.7-11 ЖСК Тайфун'!$C$47</definedName>
    <definedName name="_42h_E50">'~ д.3 к.2 стр.п.7-11 ЖСК Тайфун'!$C$48</definedName>
    <definedName name="_42h_E51">'~ д.3 к.2 стр.п.7-11 ЖСК Тайфун'!$C$49</definedName>
    <definedName name="_42h_E52">'~ д.3 к.2 стр.п.7-11 ЖСК Тайфун'!#REF!</definedName>
    <definedName name="_42h_E53">'~ д.3 к.2 стр.п.7-11 ЖСК Тайфун'!$C$50</definedName>
    <definedName name="_42h_E54">'~ д.3 к.2 стр.п.7-11 ЖСК Тайфун'!$C$51</definedName>
    <definedName name="_42h_E55">'~ д.3 к.2 стр.п.7-11 ЖСК Тайфун'!$C$52</definedName>
    <definedName name="_42h_E56">'~ д.3 к.2 стр.п.7-11 ЖСК Тайфун'!$C$53</definedName>
    <definedName name="_42h_E57">'~ д.3 к.2 стр.п.7-11 ЖСК Тайфун'!$C$54</definedName>
    <definedName name="_42h_E58">'~ д.3 к.2 стр.п.7-11 ЖСК Тайфун'!$C$55</definedName>
    <definedName name="_42h_E59">'~ д.3 к.2 стр.п.7-11 ЖСК Тайфун'!$C$56</definedName>
    <definedName name="_42h_E60">'~ д.3 к.2 стр.п.7-11 ЖСК Тайфун'!$C$57</definedName>
    <definedName name="_42h_E61">'~ д.3 к.2 стр.п.7-11 ЖСК Тайфун'!$C$58</definedName>
    <definedName name="_42h_E62">'~ д.3 к.2 стр.п.7-11 ЖСК Тайфун'!$C$59</definedName>
    <definedName name="_42h_E63">'~ д.3 к.2 стр.п.7-11 ЖСК Тайфун'!#REF!</definedName>
    <definedName name="_42h_E64">'~ д.3 к.2 стр.п.7-11 ЖСК Тайфун'!$C$60</definedName>
    <definedName name="_42h_E65">'~ д.3 к.2 стр.п.7-11 ЖСК Тайфун'!$C$61</definedName>
    <definedName name="_42h_E7">'~ д.3 к.2 стр.п.7-11 ЖСК Тайфун'!$C$5</definedName>
    <definedName name="_42h_E8">'~ д.3 к.2 стр.п.7-11 ЖСК Тайфун'!$C$6</definedName>
    <definedName name="_42h_E9">'~ д.3 к.2 стр.п.7-11 ЖСК Тайфун'!$C$7</definedName>
    <definedName name="_42h_F10">'~ д.3 к.2 стр.п.7-11 ЖСК Тайфун'!$D$8</definedName>
    <definedName name="_42h_F11">'~ д.3 к.2 стр.п.7-11 ЖСК Тайфун'!$D$9</definedName>
    <definedName name="_42h_F12">'~ д.3 к.2 стр.п.7-11 ЖСК Тайфун'!$D$10</definedName>
    <definedName name="_42h_F13">'~ д.3 к.2 стр.п.7-11 ЖСК Тайфун'!$D$11</definedName>
    <definedName name="_42h_F14">'~ д.3 к.2 стр.п.7-11 ЖСК Тайфун'!$D$12</definedName>
    <definedName name="_42h_F15">'~ д.3 к.2 стр.п.7-11 ЖСК Тайфун'!$D$13</definedName>
    <definedName name="_42h_F16">'~ д.3 к.2 стр.п.7-11 ЖСК Тайфун'!$D$14</definedName>
    <definedName name="_42h_F17">'~ д.3 к.2 стр.п.7-11 ЖСК Тайфун'!$D$15</definedName>
    <definedName name="_42h_F18">'~ д.3 к.2 стр.п.7-11 ЖСК Тайфун'!$D$16</definedName>
    <definedName name="_42h_F19">'~ д.3 к.2 стр.п.7-11 ЖСК Тайфун'!$D$17</definedName>
    <definedName name="_42h_F20">'~ д.3 к.2 стр.п.7-11 ЖСК Тайфун'!$D$18</definedName>
    <definedName name="_42h_F21">'~ д.3 к.2 стр.п.7-11 ЖСК Тайфун'!$D$19</definedName>
    <definedName name="_42h_F22">'~ д.3 к.2 стр.п.7-11 ЖСК Тайфун'!$D$20</definedName>
    <definedName name="_42h_F23">'~ д.3 к.2 стр.п.7-11 ЖСК Тайфун'!$D$21</definedName>
    <definedName name="_42h_F24">'~ д.3 к.2 стр.п.7-11 ЖСК Тайфун'!$D$22</definedName>
    <definedName name="_42h_F25">'~ д.3 к.2 стр.п.7-11 ЖСК Тайфун'!$D$23</definedName>
    <definedName name="_42h_F26">'~ д.3 к.2 стр.п.7-11 ЖСК Тайфун'!$D$24</definedName>
    <definedName name="_42h_F27">'~ д.3 к.2 стр.п.7-11 ЖСК Тайфун'!$D$25</definedName>
    <definedName name="_42h_F28">'~ д.3 к.2 стр.п.7-11 ЖСК Тайфун'!$D$26</definedName>
    <definedName name="_42h_F29">'~ д.3 к.2 стр.п.7-11 ЖСК Тайфун'!$D$27</definedName>
    <definedName name="_42h_F30">'~ д.3 к.2 стр.п.7-11 ЖСК Тайфун'!$D$28</definedName>
    <definedName name="_42h_F31">'~ д.3 к.2 стр.п.7-11 ЖСК Тайфун'!$D$29</definedName>
    <definedName name="_42h_F32">'~ д.3 к.2 стр.п.7-11 ЖСК Тайфун'!$D$30</definedName>
    <definedName name="_42h_F33">'~ д.3 к.2 стр.п.7-11 ЖСК Тайфун'!$D$31</definedName>
    <definedName name="_42h_F34">'~ д.3 к.2 стр.п.7-11 ЖСК Тайфун'!$D$32</definedName>
    <definedName name="_42h_F35">'~ д.3 к.2 стр.п.7-11 ЖСК Тайфун'!$D$33</definedName>
    <definedName name="_42h_F36">'~ д.3 к.2 стр.п.7-11 ЖСК Тайфун'!$D$34</definedName>
    <definedName name="_42h_F37">'~ д.3 к.2 стр.п.7-11 ЖСК Тайфун'!$D$35</definedName>
    <definedName name="_42h_F38">'~ д.3 к.2 стр.п.7-11 ЖСК Тайфун'!$D$36</definedName>
    <definedName name="_42h_F39">'~ д.3 к.2 стр.п.7-11 ЖСК Тайфун'!$D$37</definedName>
    <definedName name="_42h_F40">'~ д.3 к.2 стр.п.7-11 ЖСК Тайфун'!$D$38</definedName>
    <definedName name="_42h_F41">'~ д.3 к.2 стр.п.7-11 ЖСК Тайфун'!$D$39</definedName>
    <definedName name="_42h_F42">'~ д.3 к.2 стр.п.7-11 ЖСК Тайфун'!$D$40</definedName>
    <definedName name="_42h_F43">'~ д.3 к.2 стр.п.7-11 ЖСК Тайфун'!$D$41</definedName>
    <definedName name="_42h_F44">'~ д.3 к.2 стр.п.7-11 ЖСК Тайфун'!$D$42</definedName>
    <definedName name="_42h_F45">'~ д.3 к.2 стр.п.7-11 ЖСК Тайфун'!$D$43</definedName>
    <definedName name="_42h_F46">'~ д.3 к.2 стр.п.7-11 ЖСК Тайфун'!$D$44</definedName>
    <definedName name="_42h_F47">'~ д.3 к.2 стр.п.7-11 ЖСК Тайфун'!$D$45</definedName>
    <definedName name="_42h_F48">'~ д.3 к.2 стр.п.7-11 ЖСК Тайфун'!$D$46</definedName>
    <definedName name="_42h_F49">'~ д.3 к.2 стр.п.7-11 ЖСК Тайфун'!$D$47</definedName>
    <definedName name="_42h_F50">'~ д.3 к.2 стр.п.7-11 ЖСК Тайфун'!$D$48</definedName>
    <definedName name="_42h_F51">'~ д.3 к.2 стр.п.7-11 ЖСК Тайфун'!$D$49</definedName>
    <definedName name="_42h_F52">'~ д.3 к.2 стр.п.7-11 ЖСК Тайфун'!#REF!</definedName>
    <definedName name="_42h_F53">'~ д.3 к.2 стр.п.7-11 ЖСК Тайфун'!$D$50</definedName>
    <definedName name="_42h_F54">'~ д.3 к.2 стр.п.7-11 ЖСК Тайфун'!$D$51</definedName>
    <definedName name="_42h_F55">'~ д.3 к.2 стр.п.7-11 ЖСК Тайфун'!$D$52</definedName>
    <definedName name="_42h_F56">'~ д.3 к.2 стр.п.7-11 ЖСК Тайфун'!$D$53</definedName>
    <definedName name="_42h_F57">'~ д.3 к.2 стр.п.7-11 ЖСК Тайфун'!$D$54</definedName>
    <definedName name="_42h_F58">'~ д.3 к.2 стр.п.7-11 ЖСК Тайфун'!$D$55</definedName>
    <definedName name="_42h_F59">'~ д.3 к.2 стр.п.7-11 ЖСК Тайфун'!$D$56</definedName>
    <definedName name="_42h_F60">'~ д.3 к.2 стр.п.7-11 ЖСК Тайфун'!$D$57</definedName>
    <definedName name="_42h_F61">'~ д.3 к.2 стр.п.7-11 ЖСК Тайфун'!$D$58</definedName>
    <definedName name="_42h_F62">'~ д.3 к.2 стр.п.7-11 ЖСК Тайфун'!$D$59</definedName>
    <definedName name="_42h_F63">'~ д.3 к.2 стр.п.7-11 ЖСК Тайфун'!#REF!</definedName>
    <definedName name="_42h_F64">'~ д.3 к.2 стр.п.7-11 ЖСК Тайфун'!$D$60</definedName>
    <definedName name="_42h_F65">'~ д.3 к.2 стр.п.7-11 ЖСК Тайфун'!$D$61</definedName>
    <definedName name="_42h_F7">'~ д.3 к.2 стр.п.7-11 ЖСК Тайфун'!$D$5</definedName>
    <definedName name="_42h_F8">'~ д.3 к.2 стр.п.7-11 ЖСК Тайфун'!$D$6</definedName>
    <definedName name="_42h_F9">'~ д.3 к.2 стр.п.7-11 ЖСК Тайфун'!$D$7</definedName>
    <definedName name="_43h_E10">'Литовский б-р д.6 к.1'!$C$8</definedName>
    <definedName name="_43h_E11">'Литовский б-р д.6 к.1'!$C$9</definedName>
    <definedName name="_43h_E12">'Литовский б-р д.6 к.1'!$C$10</definedName>
    <definedName name="_43h_E13">'Литовский б-р д.6 к.1'!$C$11</definedName>
    <definedName name="_43h_E14">'Литовский б-р д.6 к.1'!$C$12</definedName>
    <definedName name="_43h_E15">'Литовский б-р д.6 к.1'!$C$13</definedName>
    <definedName name="_43h_E16">'Литовский б-р д.6 к.1'!$C$14</definedName>
    <definedName name="_43h_E17">'Литовский б-р д.6 к.1'!$C$15</definedName>
    <definedName name="_43h_E18">'Литовский б-р д.6 к.1'!$C$16</definedName>
    <definedName name="_43h_E19">'Литовский б-р д.6 к.1'!$C$17</definedName>
    <definedName name="_43h_E20">'Литовский б-р д.6 к.1'!$C$18</definedName>
    <definedName name="_43h_E21">'Литовский б-р д.6 к.1'!$C$19</definedName>
    <definedName name="_43h_E22">'Литовский б-р д.6 к.1'!$C$20</definedName>
    <definedName name="_43h_E23">'Литовский б-р д.6 к.1'!$C$21</definedName>
    <definedName name="_43h_E24">'Литовский б-р д.6 к.1'!$C$22</definedName>
    <definedName name="_43h_E25">'Литовский б-р д.6 к.1'!$C$23</definedName>
    <definedName name="_43h_E26">'Литовский б-р д.6 к.1'!$C$24</definedName>
    <definedName name="_43h_E27">'Литовский б-р д.6 к.1'!$C$25</definedName>
    <definedName name="_43h_E28">'Литовский б-р д.6 к.1'!$C$26</definedName>
    <definedName name="_43h_E29">'Литовский б-р д.6 к.1'!$C$27</definedName>
    <definedName name="_43h_E30">'Литовский б-р д.6 к.1'!$C$28</definedName>
    <definedName name="_43h_E31">'Литовский б-р д.6 к.1'!$C$29</definedName>
    <definedName name="_43h_E32">'Литовский б-р д.6 к.1'!$C$30</definedName>
    <definedName name="_43h_E33">'Литовский б-р д.6 к.1'!$C$31</definedName>
    <definedName name="_43h_E34">'Литовский б-р д.6 к.1'!$C$32</definedName>
    <definedName name="_43h_E35">'Литовский б-р д.6 к.1'!$C$33</definedName>
    <definedName name="_43h_E36">'Литовский б-р д.6 к.1'!$C$34</definedName>
    <definedName name="_43h_E37">'Литовский б-р д.6 к.1'!$C$35</definedName>
    <definedName name="_43h_E38">'Литовский б-р д.6 к.1'!$C$36</definedName>
    <definedName name="_43h_E39">'Литовский б-р д.6 к.1'!$C$37</definedName>
    <definedName name="_43h_E40">'Литовский б-р д.6 к.1'!$C$38</definedName>
    <definedName name="_43h_E41">'Литовский б-р д.6 к.1'!$C$39</definedName>
    <definedName name="_43h_E42">'Литовский б-р д.6 к.1'!$C$40</definedName>
    <definedName name="_43h_E43">'Литовский б-р д.6 к.1'!$C$41</definedName>
    <definedName name="_43h_E44">'Литовский б-р д.6 к.1'!$C$42</definedName>
    <definedName name="_43h_E45">'Литовский б-р д.6 к.1'!$C$43</definedName>
    <definedName name="_43h_E46">'Литовский б-р д.6 к.1'!$C$44</definedName>
    <definedName name="_43h_E47">'Литовский б-р д.6 к.1'!$C$45</definedName>
    <definedName name="_43h_E48">'Литовский б-р д.6 к.1'!$C$46</definedName>
    <definedName name="_43h_E49">'Литовский б-р д.6 к.1'!$C$47</definedName>
    <definedName name="_43h_E50">'Литовский б-р д.6 к.1'!$C$48</definedName>
    <definedName name="_43h_E51">'Литовский б-р д.6 к.1'!$C$49</definedName>
    <definedName name="_43h_E52">'Литовский б-р д.6 к.1'!#REF!</definedName>
    <definedName name="_43h_E53">'Литовский б-р д.6 к.1'!$C$50</definedName>
    <definedName name="_43h_E54">'Литовский б-р д.6 к.1'!$C$51</definedName>
    <definedName name="_43h_E55">'Литовский б-р д.6 к.1'!$C$52</definedName>
    <definedName name="_43h_E56">'Литовский б-р д.6 к.1'!$C$53</definedName>
    <definedName name="_43h_E57">'Литовский б-р д.6 к.1'!$C$54</definedName>
    <definedName name="_43h_E58">'Литовский б-р д.6 к.1'!$C$55</definedName>
    <definedName name="_43h_E59">'Литовский б-р д.6 к.1'!$C$56</definedName>
    <definedName name="_43h_E60">'Литовский б-р д.6 к.1'!$C$57</definedName>
    <definedName name="_43h_E61">'Литовский б-р д.6 к.1'!$C$58</definedName>
    <definedName name="_43h_E62">'Литовский б-р д.6 к.1'!$C$59</definedName>
    <definedName name="_43h_E63">'Литовский б-р д.6 к.1'!#REF!</definedName>
    <definedName name="_43h_E64">'Литовский б-р д.6 к.1'!$C$60</definedName>
    <definedName name="_43h_E65">'Литовский б-р д.6 к.1'!$C$61</definedName>
    <definedName name="_43h_E7">'Литовский б-р д.6 к.1'!$C$5</definedName>
    <definedName name="_43h_E8">'Литовский б-р д.6 к.1'!$C$6</definedName>
    <definedName name="_43h_E9">'Литовский б-р д.6 к.1'!$C$7</definedName>
    <definedName name="_43h_F10">'Литовский б-р д.6 к.1'!$D$8</definedName>
    <definedName name="_43h_F11">'Литовский б-р д.6 к.1'!$D$9</definedName>
    <definedName name="_43h_F12">'Литовский б-р д.6 к.1'!$D$10</definedName>
    <definedName name="_43h_F13">'Литовский б-р д.6 к.1'!$D$11</definedName>
    <definedName name="_43h_F14">'Литовский б-р д.6 к.1'!$D$12</definedName>
    <definedName name="_43h_F15">'Литовский б-р д.6 к.1'!$D$13</definedName>
    <definedName name="_43h_F16">'Литовский б-р д.6 к.1'!$D$14</definedName>
    <definedName name="_43h_F17">'Литовский б-р д.6 к.1'!$D$15</definedName>
    <definedName name="_43h_F18">'Литовский б-р д.6 к.1'!$D$16</definedName>
    <definedName name="_43h_F19">'Литовский б-р д.6 к.1'!$D$17</definedName>
    <definedName name="_43h_F20">'Литовский б-р д.6 к.1'!$D$18</definedName>
    <definedName name="_43h_F21">'Литовский б-р д.6 к.1'!$D$19</definedName>
    <definedName name="_43h_F22">'Литовский б-р д.6 к.1'!$D$20</definedName>
    <definedName name="_43h_F23">'Литовский б-р д.6 к.1'!$D$21</definedName>
    <definedName name="_43h_F24">'Литовский б-р д.6 к.1'!$D$22</definedName>
    <definedName name="_43h_F25">'Литовский б-р д.6 к.1'!$D$23</definedName>
    <definedName name="_43h_F26">'Литовский б-р д.6 к.1'!$D$24</definedName>
    <definedName name="_43h_F27">'Литовский б-р д.6 к.1'!$D$25</definedName>
    <definedName name="_43h_F28">'Литовский б-р д.6 к.1'!$D$26</definedName>
    <definedName name="_43h_F29">'Литовский б-р д.6 к.1'!$D$27</definedName>
    <definedName name="_43h_F30">'Литовский б-р д.6 к.1'!$D$28</definedName>
    <definedName name="_43h_F31">'Литовский б-р д.6 к.1'!$D$29</definedName>
    <definedName name="_43h_F32">'Литовский б-р д.6 к.1'!$D$30</definedName>
    <definedName name="_43h_F33">'Литовский б-р д.6 к.1'!$D$31</definedName>
    <definedName name="_43h_F34">'Литовский б-р д.6 к.1'!$D$32</definedName>
    <definedName name="_43h_F35">'Литовский б-р д.6 к.1'!$D$33</definedName>
    <definedName name="_43h_F36">'Литовский б-р д.6 к.1'!$D$34</definedName>
    <definedName name="_43h_F37">'Литовский б-р д.6 к.1'!$D$35</definedName>
    <definedName name="_43h_F38">'Литовский б-р д.6 к.1'!$D$36</definedName>
    <definedName name="_43h_F39">'Литовский б-р д.6 к.1'!$D$37</definedName>
    <definedName name="_43h_F40">'Литовский б-р д.6 к.1'!$D$38</definedName>
    <definedName name="_43h_F41">'Литовский б-р д.6 к.1'!$D$39</definedName>
    <definedName name="_43h_F42">'Литовский б-р д.6 к.1'!$D$40</definedName>
    <definedName name="_43h_F43">'Литовский б-р д.6 к.1'!$D$41</definedName>
    <definedName name="_43h_F44">'Литовский б-р д.6 к.1'!$D$42</definedName>
    <definedName name="_43h_F45">'Литовский б-р д.6 к.1'!$D$43</definedName>
    <definedName name="_43h_F46">'Литовский б-р д.6 к.1'!$D$44</definedName>
    <definedName name="_43h_F47">'Литовский б-р д.6 к.1'!$D$45</definedName>
    <definedName name="_43h_F48">'Литовский б-р д.6 к.1'!$D$46</definedName>
    <definedName name="_43h_F49">'Литовский б-р д.6 к.1'!$D$47</definedName>
    <definedName name="_43h_F50">'Литовский б-р д.6 к.1'!$D$48</definedName>
    <definedName name="_43h_F51">'Литовский б-р д.6 к.1'!$D$49</definedName>
    <definedName name="_43h_F52">'Литовский б-р д.6 к.1'!#REF!</definedName>
    <definedName name="_43h_F53">'Литовский б-р д.6 к.1'!$D$50</definedName>
    <definedName name="_43h_F54">'Литовский б-р д.6 к.1'!$D$51</definedName>
    <definedName name="_43h_F55">'Литовский б-р д.6 к.1'!$D$52</definedName>
    <definedName name="_43h_F56">'Литовский б-р д.6 к.1'!$D$53</definedName>
    <definedName name="_43h_F57">'Литовский б-р д.6 к.1'!$D$54</definedName>
    <definedName name="_43h_F58">'Литовский б-р д.6 к.1'!$D$55</definedName>
    <definedName name="_43h_F59">'Литовский б-р д.6 к.1'!$D$56</definedName>
    <definedName name="_43h_F60">'Литовский б-р д.6 к.1'!$D$57</definedName>
    <definedName name="_43h_F61">'Литовский б-р д.6 к.1'!$D$58</definedName>
    <definedName name="_43h_F62">'Литовский б-р д.6 к.1'!$D$59</definedName>
    <definedName name="_43h_F63">'Литовский б-р д.6 к.1'!#REF!</definedName>
    <definedName name="_43h_F64">'Литовский б-р д.6 к.1'!$D$60</definedName>
    <definedName name="_43h_F65">'Литовский б-р д.6 к.1'!$D$61</definedName>
    <definedName name="_43h_F7">'Литовский б-р д.6 к.1'!$D$5</definedName>
    <definedName name="_43h_F8">'Литовский б-р д.6 к.1'!$D$6</definedName>
    <definedName name="_43h_F9">'Литовский б-р д.6 к.1'!$D$7</definedName>
    <definedName name="_44h_E10">'Литовский б-р д.6 к.3'!$C$8</definedName>
    <definedName name="_44h_E11">'Литовский б-р д.6 к.3'!$C$9</definedName>
    <definedName name="_44h_E12">'Литовский б-р д.6 к.3'!$C$10</definedName>
    <definedName name="_44h_E13">'Литовский б-р д.6 к.3'!$C$11</definedName>
    <definedName name="_44h_E14">'Литовский б-р д.6 к.3'!$C$12</definedName>
    <definedName name="_44h_E15">'Литовский б-р д.6 к.3'!$C$13</definedName>
    <definedName name="_44h_E16">'Литовский б-р д.6 к.3'!$C$14</definedName>
    <definedName name="_44h_E17">'Литовский б-р д.6 к.3'!$C$15</definedName>
    <definedName name="_44h_E18">'Литовский б-р д.6 к.3'!$C$16</definedName>
    <definedName name="_44h_E19">'Литовский б-р д.6 к.3'!$C$17</definedName>
    <definedName name="_44h_E20">'Литовский б-р д.6 к.3'!$C$18</definedName>
    <definedName name="_44h_E21">'Литовский б-р д.6 к.3'!$C$19</definedName>
    <definedName name="_44h_E22">'Литовский б-р д.6 к.3'!$C$20</definedName>
    <definedName name="_44h_E23">'Литовский б-р д.6 к.3'!$C$21</definedName>
    <definedName name="_44h_E24">'Литовский б-р д.6 к.3'!$C$22</definedName>
    <definedName name="_44h_E25">'Литовский б-р д.6 к.3'!$C$23</definedName>
    <definedName name="_44h_E26">'Литовский б-р д.6 к.3'!$C$24</definedName>
    <definedName name="_44h_E27">'Литовский б-р д.6 к.3'!$C$25</definedName>
    <definedName name="_44h_E28">'Литовский б-р д.6 к.3'!$C$26</definedName>
    <definedName name="_44h_E29">'Литовский б-р д.6 к.3'!$C$27</definedName>
    <definedName name="_44h_E30">'Литовский б-р д.6 к.3'!$C$28</definedName>
    <definedName name="_44h_E31">'Литовский б-р д.6 к.3'!$C$29</definedName>
    <definedName name="_44h_E32">'Литовский б-р д.6 к.3'!$C$30</definedName>
    <definedName name="_44h_E33">'Литовский б-р д.6 к.3'!$C$31</definedName>
    <definedName name="_44h_E34">'Литовский б-р д.6 к.3'!$C$32</definedName>
    <definedName name="_44h_E35">'Литовский б-р д.6 к.3'!$C$33</definedName>
    <definedName name="_44h_E36">'Литовский б-р д.6 к.3'!$C$34</definedName>
    <definedName name="_44h_E37">'Литовский б-р д.6 к.3'!$C$35</definedName>
    <definedName name="_44h_E38">'Литовский б-р д.6 к.3'!$C$36</definedName>
    <definedName name="_44h_E39">'Литовский б-р д.6 к.3'!$C$37</definedName>
    <definedName name="_44h_E40">'Литовский б-р д.6 к.3'!$C$38</definedName>
    <definedName name="_44h_E41">'Литовский б-р д.6 к.3'!$C$39</definedName>
    <definedName name="_44h_E42">'Литовский б-р д.6 к.3'!$C$40</definedName>
    <definedName name="_44h_E43">'Литовский б-р д.6 к.3'!$C$41</definedName>
    <definedName name="_44h_E44">'Литовский б-р д.6 к.3'!$C$42</definedName>
    <definedName name="_44h_E45">'Литовский б-р д.6 к.3'!$C$43</definedName>
    <definedName name="_44h_E46">'Литовский б-р д.6 к.3'!$C$44</definedName>
    <definedName name="_44h_E47">'Литовский б-р д.6 к.3'!$C$45</definedName>
    <definedName name="_44h_E48">'Литовский б-р д.6 к.3'!$C$46</definedName>
    <definedName name="_44h_E49">'Литовский б-р д.6 к.3'!$C$47</definedName>
    <definedName name="_44h_E50">'Литовский б-р д.6 к.3'!$C$48</definedName>
    <definedName name="_44h_E51">'Литовский б-р д.6 к.3'!$C$49</definedName>
    <definedName name="_44h_E52">'Литовский б-р д.6 к.3'!#REF!</definedName>
    <definedName name="_44h_E53">'Литовский б-р д.6 к.3'!$C$50</definedName>
    <definedName name="_44h_E54">'Литовский б-р д.6 к.3'!$C$51</definedName>
    <definedName name="_44h_E55">'Литовский б-р д.6 к.3'!$C$52</definedName>
    <definedName name="_44h_E56">'Литовский б-р д.6 к.3'!$C$53</definedName>
    <definedName name="_44h_E57">'Литовский б-р д.6 к.3'!$C$54</definedName>
    <definedName name="_44h_E58">'Литовский б-р д.6 к.3'!$C$55</definedName>
    <definedName name="_44h_E59">'Литовский б-р д.6 к.3'!$C$56</definedName>
    <definedName name="_44h_E60">'Литовский б-р д.6 к.3'!$C$57</definedName>
    <definedName name="_44h_E61">'Литовский б-р д.6 к.3'!$C$58</definedName>
    <definedName name="_44h_E62">'Литовский б-р д.6 к.3'!$C$59</definedName>
    <definedName name="_44h_E63">'Литовский б-р д.6 к.3'!#REF!</definedName>
    <definedName name="_44h_E64">'Литовский б-р д.6 к.3'!$C$60</definedName>
    <definedName name="_44h_E65">'Литовский б-р д.6 к.3'!$C$61</definedName>
    <definedName name="_44h_E7">'Литовский б-р д.6 к.3'!$C$5</definedName>
    <definedName name="_44h_E8">'Литовский б-р д.6 к.3'!$C$6</definedName>
    <definedName name="_44h_E9">'Литовский б-р д.6 к.3'!$C$7</definedName>
    <definedName name="_44h_F10">'Литовский б-р д.6 к.3'!$D$8</definedName>
    <definedName name="_44h_F11">'Литовский б-р д.6 к.3'!$D$9</definedName>
    <definedName name="_44h_F12">'Литовский б-р д.6 к.3'!$D$10</definedName>
    <definedName name="_44h_F13">'Литовский б-р д.6 к.3'!$D$11</definedName>
    <definedName name="_44h_F14">'Литовский б-р д.6 к.3'!$D$12</definedName>
    <definedName name="_44h_F15">'Литовский б-р д.6 к.3'!$D$13</definedName>
    <definedName name="_44h_F16">'Литовский б-р д.6 к.3'!$D$14</definedName>
    <definedName name="_44h_F17">'Литовский б-р д.6 к.3'!$D$15</definedName>
    <definedName name="_44h_F18">'Литовский б-р д.6 к.3'!$D$16</definedName>
    <definedName name="_44h_F19">'Литовский б-р д.6 к.3'!$D$17</definedName>
    <definedName name="_44h_F20">'Литовский б-р д.6 к.3'!$D$18</definedName>
    <definedName name="_44h_F21">'Литовский б-р д.6 к.3'!$D$19</definedName>
    <definedName name="_44h_F22">'Литовский б-р д.6 к.3'!$D$20</definedName>
    <definedName name="_44h_F23">'Литовский б-р д.6 к.3'!$D$21</definedName>
    <definedName name="_44h_F24">'Литовский б-р д.6 к.3'!$D$22</definedName>
    <definedName name="_44h_F25">'Литовский б-р д.6 к.3'!$D$23</definedName>
    <definedName name="_44h_F26">'Литовский б-р д.6 к.3'!$D$24</definedName>
    <definedName name="_44h_F27">'Литовский б-р д.6 к.3'!$D$25</definedName>
    <definedName name="_44h_F28">'Литовский б-р д.6 к.3'!$D$26</definedName>
    <definedName name="_44h_F29">'Литовский б-р д.6 к.3'!$D$27</definedName>
    <definedName name="_44h_F30">'Литовский б-р д.6 к.3'!$D$28</definedName>
    <definedName name="_44h_F31">'Литовский б-р д.6 к.3'!$D$29</definedName>
    <definedName name="_44h_F32">'Литовский б-р д.6 к.3'!$D$30</definedName>
    <definedName name="_44h_F33">'Литовский б-р д.6 к.3'!$D$31</definedName>
    <definedName name="_44h_F34">'Литовский б-р д.6 к.3'!$D$32</definedName>
    <definedName name="_44h_F35">'Литовский б-р д.6 к.3'!$D$33</definedName>
    <definedName name="_44h_F36">'Литовский б-р д.6 к.3'!$D$34</definedName>
    <definedName name="_44h_F37">'Литовский б-р д.6 к.3'!$D$35</definedName>
    <definedName name="_44h_F38">'Литовский б-р д.6 к.3'!$D$36</definedName>
    <definedName name="_44h_F39">'Литовский б-р д.6 к.3'!$D$37</definedName>
    <definedName name="_44h_F40">'Литовский б-р д.6 к.3'!$D$38</definedName>
    <definedName name="_44h_F41">'Литовский б-р д.6 к.3'!$D$39</definedName>
    <definedName name="_44h_F42">'Литовский б-р д.6 к.3'!$D$40</definedName>
    <definedName name="_44h_F43">'Литовский б-р д.6 к.3'!$D$41</definedName>
    <definedName name="_44h_F44">'Литовский б-р д.6 к.3'!$D$42</definedName>
    <definedName name="_44h_F45">'Литовский б-р д.6 к.3'!$D$43</definedName>
    <definedName name="_44h_F46">'Литовский б-р д.6 к.3'!$D$44</definedName>
    <definedName name="_44h_F47">'Литовский б-р д.6 к.3'!$D$45</definedName>
    <definedName name="_44h_F48">'Литовский б-р д.6 к.3'!$D$46</definedName>
    <definedName name="_44h_F49">'Литовский б-р д.6 к.3'!$D$47</definedName>
    <definedName name="_44h_F50">'Литовский б-р д.6 к.3'!$D$48</definedName>
    <definedName name="_44h_F51">'Литовский б-р д.6 к.3'!$D$49</definedName>
    <definedName name="_44h_F52">'Литовский б-р д.6 к.3'!#REF!</definedName>
    <definedName name="_44h_F53">'Литовский б-р д.6 к.3'!$D$50</definedName>
    <definedName name="_44h_F54">'Литовский б-р д.6 к.3'!$D$51</definedName>
    <definedName name="_44h_F55">'Литовский б-р д.6 к.3'!$D$52</definedName>
    <definedName name="_44h_F56">'Литовский б-р д.6 к.3'!$D$53</definedName>
    <definedName name="_44h_F57">'Литовский б-р д.6 к.3'!$D$54</definedName>
    <definedName name="_44h_F58">'Литовский б-р д.6 к.3'!$D$55</definedName>
    <definedName name="_44h_F59">'Литовский б-р д.6 к.3'!$D$56</definedName>
    <definedName name="_44h_F60">'Литовский б-р д.6 к.3'!$D$57</definedName>
    <definedName name="_44h_F61">'Литовский б-р д.6 к.3'!$D$58</definedName>
    <definedName name="_44h_F62">'Литовский б-р д.6 к.3'!$D$59</definedName>
    <definedName name="_44h_F63">'Литовский б-р д.6 к.3'!#REF!</definedName>
    <definedName name="_44h_F64">'Литовский б-р д.6 к.3'!$D$60</definedName>
    <definedName name="_44h_F65">'Литовский б-р д.6 к.3'!$D$61</definedName>
    <definedName name="_44h_F7">'Литовский б-р д.6 к.3'!$D$5</definedName>
    <definedName name="_44h_F8">'Литовский б-р д.6 к.3'!$D$6</definedName>
    <definedName name="_44h_F9">'Литовский б-р д.6 к.3'!$D$7</definedName>
    <definedName name="_45h_E10">'Литовский б-р д.9|7'!$C$8</definedName>
    <definedName name="_45h_E11">'Литовский б-р д.9|7'!$C$9</definedName>
    <definedName name="_45h_E12">'Литовский б-р д.9|7'!$C$10</definedName>
    <definedName name="_45h_E13">'Литовский б-р д.9|7'!$C$11</definedName>
    <definedName name="_45h_E14">'Литовский б-р д.9|7'!$C$12</definedName>
    <definedName name="_45h_E15">'Литовский б-р д.9|7'!$C$13</definedName>
    <definedName name="_45h_E16">'Литовский б-р д.9|7'!$C$14</definedName>
    <definedName name="_45h_E17">'Литовский б-р д.9|7'!$C$15</definedName>
    <definedName name="_45h_E18">'Литовский б-р д.9|7'!$C$16</definedName>
    <definedName name="_45h_E19">'Литовский б-р д.9|7'!$C$17</definedName>
    <definedName name="_45h_E20">'Литовский б-р д.9|7'!$C$18</definedName>
    <definedName name="_45h_E21">'Литовский б-р д.9|7'!$C$19</definedName>
    <definedName name="_45h_E22">'Литовский б-р д.9|7'!$C$20</definedName>
    <definedName name="_45h_E23">'Литовский б-р д.9|7'!$C$21</definedName>
    <definedName name="_45h_E24">'Литовский б-р д.9|7'!$C$22</definedName>
    <definedName name="_45h_E25">'Литовский б-р д.9|7'!$C$23</definedName>
    <definedName name="_45h_E26">'Литовский б-р д.9|7'!$C$24</definedName>
    <definedName name="_45h_E27">'Литовский б-р д.9|7'!$C$25</definedName>
    <definedName name="_45h_E28">'Литовский б-р д.9|7'!$C$26</definedName>
    <definedName name="_45h_E29">'Литовский б-р д.9|7'!$C$27</definedName>
    <definedName name="_45h_E30">'Литовский б-р д.9|7'!$C$28</definedName>
    <definedName name="_45h_E31">'Литовский б-р д.9|7'!$C$29</definedName>
    <definedName name="_45h_E32">'Литовский б-р д.9|7'!$C$30</definedName>
    <definedName name="_45h_E33">'Литовский б-р д.9|7'!$C$31</definedName>
    <definedName name="_45h_E34">'Литовский б-р д.9|7'!$C$32</definedName>
    <definedName name="_45h_E35">'Литовский б-р д.9|7'!$C$33</definedName>
    <definedName name="_45h_E36">'Литовский б-р д.9|7'!$C$34</definedName>
    <definedName name="_45h_E37">'Литовский б-р д.9|7'!$C$35</definedName>
    <definedName name="_45h_E38">'Литовский б-р д.9|7'!$C$36</definedName>
    <definedName name="_45h_E39">'Литовский б-р д.9|7'!$C$37</definedName>
    <definedName name="_45h_E40">'Литовский б-р д.9|7'!$C$38</definedName>
    <definedName name="_45h_E41">'Литовский б-р д.9|7'!$C$39</definedName>
    <definedName name="_45h_E42">'Литовский б-р д.9|7'!$C$40</definedName>
    <definedName name="_45h_E43">'Литовский б-р д.9|7'!$C$41</definedName>
    <definedName name="_45h_E44">'Литовский б-р д.9|7'!$C$42</definedName>
    <definedName name="_45h_E45">'Литовский б-р д.9|7'!$C$43</definedName>
    <definedName name="_45h_E46">'Литовский б-р д.9|7'!$C$44</definedName>
    <definedName name="_45h_E47">'Литовский б-р д.9|7'!$C$45</definedName>
    <definedName name="_45h_E48">'Литовский б-р д.9|7'!$C$46</definedName>
    <definedName name="_45h_E49">'Литовский б-р д.9|7'!$C$47</definedName>
    <definedName name="_45h_E50">'Литовский б-р д.9|7'!$C$48</definedName>
    <definedName name="_45h_E51">'Литовский б-р д.9|7'!$C$49</definedName>
    <definedName name="_45h_E52">'Литовский б-р д.9|7'!#REF!</definedName>
    <definedName name="_45h_E53">'Литовский б-р д.9|7'!$C$50</definedName>
    <definedName name="_45h_E54">'Литовский б-р д.9|7'!$C$51</definedName>
    <definedName name="_45h_E55">'Литовский б-р д.9|7'!$C$52</definedName>
    <definedName name="_45h_E56">'Литовский б-р д.9|7'!$C$53</definedName>
    <definedName name="_45h_E57">'Литовский б-р д.9|7'!$C$54</definedName>
    <definedName name="_45h_E58">'Литовский б-р д.9|7'!$C$55</definedName>
    <definedName name="_45h_E59">'Литовский б-р д.9|7'!$C$56</definedName>
    <definedName name="_45h_E60">'Литовский б-р д.9|7'!$C$57</definedName>
    <definedName name="_45h_E61">'Литовский б-р д.9|7'!$C$58</definedName>
    <definedName name="_45h_E62">'Литовский б-р д.9|7'!$C$59</definedName>
    <definedName name="_45h_E63">'Литовский б-р д.9|7'!#REF!</definedName>
    <definedName name="_45h_E64">'Литовский б-р д.9|7'!$C$60</definedName>
    <definedName name="_45h_E65">'Литовский б-р д.9|7'!$C$61</definedName>
    <definedName name="_45h_E7">'Литовский б-р д.9|7'!$C$5</definedName>
    <definedName name="_45h_E8">'Литовский б-р д.9|7'!$C$6</definedName>
    <definedName name="_45h_E9">'Литовский б-р д.9|7'!$C$7</definedName>
    <definedName name="_45h_F10">'Литовский б-р д.9|7'!$D$8</definedName>
    <definedName name="_45h_F11">'Литовский б-р д.9|7'!$D$9</definedName>
    <definedName name="_45h_F12">'Литовский б-р д.9|7'!$D$10</definedName>
    <definedName name="_45h_F13">'Литовский б-р д.9|7'!$D$11</definedName>
    <definedName name="_45h_F14">'Литовский б-р д.9|7'!$D$12</definedName>
    <definedName name="_45h_F15">'Литовский б-р д.9|7'!$D$13</definedName>
    <definedName name="_45h_F16">'Литовский б-р д.9|7'!$D$14</definedName>
    <definedName name="_45h_F17">'Литовский б-р д.9|7'!$D$15</definedName>
    <definedName name="_45h_F18">'Литовский б-р д.9|7'!$D$16</definedName>
    <definedName name="_45h_F19">'Литовский б-р д.9|7'!$D$17</definedName>
    <definedName name="_45h_F20">'Литовский б-р д.9|7'!$D$18</definedName>
    <definedName name="_45h_F21">'Литовский б-р д.9|7'!$D$19</definedName>
    <definedName name="_45h_F22">'Литовский б-р д.9|7'!$D$20</definedName>
    <definedName name="_45h_F23">'Литовский б-р д.9|7'!$D$21</definedName>
    <definedName name="_45h_F24">'Литовский б-р д.9|7'!$D$22</definedName>
    <definedName name="_45h_F25">'Литовский б-р д.9|7'!$D$23</definedName>
    <definedName name="_45h_F26">'Литовский б-р д.9|7'!$D$24</definedName>
    <definedName name="_45h_F27">'Литовский б-р д.9|7'!$D$25</definedName>
    <definedName name="_45h_F28">'Литовский б-р д.9|7'!$D$26</definedName>
    <definedName name="_45h_F29">'Литовский б-р д.9|7'!$D$27</definedName>
    <definedName name="_45h_F30">'Литовский б-р д.9|7'!$D$28</definedName>
    <definedName name="_45h_F31">'Литовский б-р д.9|7'!$D$29</definedName>
    <definedName name="_45h_F32">'Литовский б-р д.9|7'!$D$30</definedName>
    <definedName name="_45h_F33">'Литовский б-р д.9|7'!$D$31</definedName>
    <definedName name="_45h_F34">'Литовский б-р д.9|7'!$D$32</definedName>
    <definedName name="_45h_F35">'Литовский б-р д.9|7'!$D$33</definedName>
    <definedName name="_45h_F36">'Литовский б-р д.9|7'!$D$34</definedName>
    <definedName name="_45h_F37">'Литовский б-р д.9|7'!$D$35</definedName>
    <definedName name="_45h_F38">'Литовский б-р д.9|7'!$D$36</definedName>
    <definedName name="_45h_F39">'Литовский б-р д.9|7'!$D$37</definedName>
    <definedName name="_45h_F40">'Литовский б-р д.9|7'!$D$38</definedName>
    <definedName name="_45h_F41">'Литовский б-р д.9|7'!$D$39</definedName>
    <definedName name="_45h_F42">'Литовский б-р д.9|7'!$D$40</definedName>
    <definedName name="_45h_F43">'Литовский б-р д.9|7'!$D$41</definedName>
    <definedName name="_45h_F44">'Литовский б-р д.9|7'!$D$42</definedName>
    <definedName name="_45h_F45">'Литовский б-р д.9|7'!$D$43</definedName>
    <definedName name="_45h_F46">'Литовский б-р д.9|7'!$D$44</definedName>
    <definedName name="_45h_F47">'Литовский б-р д.9|7'!$D$45</definedName>
    <definedName name="_45h_F48">'Литовский б-р д.9|7'!$D$46</definedName>
    <definedName name="_45h_F49">'Литовский б-р д.9|7'!$D$47</definedName>
    <definedName name="_45h_F50">'Литовский б-р д.9|7'!$D$48</definedName>
    <definedName name="_45h_F51">'Литовский б-р д.9|7'!$D$49</definedName>
    <definedName name="_45h_F52">'Литовский б-р д.9|7'!#REF!</definedName>
    <definedName name="_45h_F53">'Литовский б-р д.9|7'!$D$50</definedName>
    <definedName name="_45h_F54">'Литовский б-р д.9|7'!$D$51</definedName>
    <definedName name="_45h_F55">'Литовский б-р д.9|7'!$D$52</definedName>
    <definedName name="_45h_F56">'Литовский б-р д.9|7'!$D$53</definedName>
    <definedName name="_45h_F57">'Литовский б-р д.9|7'!$D$54</definedName>
    <definedName name="_45h_F58">'Литовский б-р д.9|7'!$D$55</definedName>
    <definedName name="_45h_F59">'Литовский б-р д.9|7'!$D$56</definedName>
    <definedName name="_45h_F60">'Литовский б-р д.9|7'!$D$57</definedName>
    <definedName name="_45h_F61">'Литовский б-р д.9|7'!$D$58</definedName>
    <definedName name="_45h_F62">'Литовский б-р д.9|7'!$D$59</definedName>
    <definedName name="_45h_F63">'Литовский б-р д.9|7'!#REF!</definedName>
    <definedName name="_45h_F64">'Литовский б-р д.9|7'!$D$60</definedName>
    <definedName name="_45h_F65">'Литовский б-р д.9|7'!$D$61</definedName>
    <definedName name="_45h_F7">'Литовский б-р д.9|7'!$D$5</definedName>
    <definedName name="_45h_F8">'Литовский б-р д.9|7'!$D$6</definedName>
    <definedName name="_45h_F9">'Литовский б-р д.9|7'!$D$7</definedName>
    <definedName name="_46h_E10">'Литовский б-р д.10 к.1'!$C$8</definedName>
    <definedName name="_46h_E11">'Литовский б-р д.10 к.1'!$C$9</definedName>
    <definedName name="_46h_E12">'Литовский б-р д.10 к.1'!$C$10</definedName>
    <definedName name="_46h_E13">'Литовский б-р д.10 к.1'!$C$11</definedName>
    <definedName name="_46h_E14">'Литовский б-р д.10 к.1'!$C$12</definedName>
    <definedName name="_46h_E15">'Литовский б-р д.10 к.1'!$C$13</definedName>
    <definedName name="_46h_E16">'Литовский б-р д.10 к.1'!$C$14</definedName>
    <definedName name="_46h_E17">'Литовский б-р д.10 к.1'!$C$15</definedName>
    <definedName name="_46h_E18">'Литовский б-р д.10 к.1'!$C$16</definedName>
    <definedName name="_46h_E19">'Литовский б-р д.10 к.1'!$C$17</definedName>
    <definedName name="_46h_E20">'Литовский б-р д.10 к.1'!$C$18</definedName>
    <definedName name="_46h_E21">'Литовский б-р д.10 к.1'!$C$19</definedName>
    <definedName name="_46h_E22">'Литовский б-р д.10 к.1'!$C$20</definedName>
    <definedName name="_46h_E23">'Литовский б-р д.10 к.1'!$C$21</definedName>
    <definedName name="_46h_E24">'Литовский б-р д.10 к.1'!$C$22</definedName>
    <definedName name="_46h_E25">'Литовский б-р д.10 к.1'!$C$23</definedName>
    <definedName name="_46h_E26">'Литовский б-р д.10 к.1'!$C$24</definedName>
    <definedName name="_46h_E27">'Литовский б-р д.10 к.1'!$C$25</definedName>
    <definedName name="_46h_E28">'Литовский б-р д.10 к.1'!$C$26</definedName>
    <definedName name="_46h_E29">'Литовский б-р д.10 к.1'!$C$27</definedName>
    <definedName name="_46h_E30">'Литовский б-р д.10 к.1'!$C$28</definedName>
    <definedName name="_46h_E31">'Литовский б-р д.10 к.1'!$C$29</definedName>
    <definedName name="_46h_E32">'Литовский б-р д.10 к.1'!$C$30</definedName>
    <definedName name="_46h_E33">'Литовский б-р д.10 к.1'!$C$31</definedName>
    <definedName name="_46h_E34">'Литовский б-р д.10 к.1'!$C$32</definedName>
    <definedName name="_46h_E35">'Литовский б-р д.10 к.1'!$C$33</definedName>
    <definedName name="_46h_E36">'Литовский б-р д.10 к.1'!$C$34</definedName>
    <definedName name="_46h_E37">'Литовский б-р д.10 к.1'!$C$35</definedName>
    <definedName name="_46h_E38">'Литовский б-р д.10 к.1'!$C$36</definedName>
    <definedName name="_46h_E39">'Литовский б-р д.10 к.1'!$C$37</definedName>
    <definedName name="_46h_E40">'Литовский б-р д.10 к.1'!$C$38</definedName>
    <definedName name="_46h_E41">'Литовский б-р д.10 к.1'!$C$39</definedName>
    <definedName name="_46h_E42">'Литовский б-р д.10 к.1'!$C$40</definedName>
    <definedName name="_46h_E43">'Литовский б-р д.10 к.1'!$C$41</definedName>
    <definedName name="_46h_E44">'Литовский б-р д.10 к.1'!$C$42</definedName>
    <definedName name="_46h_E45">'Литовский б-р д.10 к.1'!$C$43</definedName>
    <definedName name="_46h_E46">'Литовский б-р д.10 к.1'!$C$44</definedName>
    <definedName name="_46h_E47">'Литовский б-р д.10 к.1'!$C$45</definedName>
    <definedName name="_46h_E48">'Литовский б-р д.10 к.1'!$C$46</definedName>
    <definedName name="_46h_E49">'Литовский б-р д.10 к.1'!$C$47</definedName>
    <definedName name="_46h_E50">'Литовский б-р д.10 к.1'!$C$48</definedName>
    <definedName name="_46h_E51">'Литовский б-р д.10 к.1'!$C$49</definedName>
    <definedName name="_46h_E52">'Литовский б-р д.10 к.1'!#REF!</definedName>
    <definedName name="_46h_E53">'Литовский б-р д.10 к.1'!$C$50</definedName>
    <definedName name="_46h_E54">'Литовский б-р д.10 к.1'!$C$51</definedName>
    <definedName name="_46h_E55">'Литовский б-р д.10 к.1'!$C$52</definedName>
    <definedName name="_46h_E56">'Литовский б-р д.10 к.1'!$C$53</definedName>
    <definedName name="_46h_E57">'Литовский б-р д.10 к.1'!$C$54</definedName>
    <definedName name="_46h_E58">'Литовский б-р д.10 к.1'!$C$55</definedName>
    <definedName name="_46h_E59">'Литовский б-р д.10 к.1'!$C$56</definedName>
    <definedName name="_46h_E60">'Литовский б-р д.10 к.1'!$C$57</definedName>
    <definedName name="_46h_E61">'Литовский б-р д.10 к.1'!$C$58</definedName>
    <definedName name="_46h_E62">'Литовский б-р д.10 к.1'!$C$59</definedName>
    <definedName name="_46h_E63">'Литовский б-р д.10 к.1'!#REF!</definedName>
    <definedName name="_46h_E64">'Литовский б-р д.10 к.1'!$C$60</definedName>
    <definedName name="_46h_E65">'Литовский б-р д.10 к.1'!$C$61</definedName>
    <definedName name="_46h_E7">'Литовский б-р д.10 к.1'!$C$5</definedName>
    <definedName name="_46h_E8">'Литовский б-р д.10 к.1'!$C$6</definedName>
    <definedName name="_46h_E9">'Литовский б-р д.10 к.1'!$C$7</definedName>
    <definedName name="_46h_F10">'Литовский б-р д.10 к.1'!$D$8</definedName>
    <definedName name="_46h_F11">'Литовский б-р д.10 к.1'!$D$9</definedName>
    <definedName name="_46h_F12">'Литовский б-р д.10 к.1'!$D$10</definedName>
    <definedName name="_46h_F13">'Литовский б-р д.10 к.1'!$D$11</definedName>
    <definedName name="_46h_F14">'Литовский б-р д.10 к.1'!$D$12</definedName>
    <definedName name="_46h_F15">'Литовский б-р д.10 к.1'!$D$13</definedName>
    <definedName name="_46h_F16">'Литовский б-р д.10 к.1'!$D$14</definedName>
    <definedName name="_46h_F17">'Литовский б-р д.10 к.1'!$D$15</definedName>
    <definedName name="_46h_F18">'Литовский б-р д.10 к.1'!$D$16</definedName>
    <definedName name="_46h_F19">'Литовский б-р д.10 к.1'!$D$17</definedName>
    <definedName name="_46h_F20">'Литовский б-р д.10 к.1'!$D$18</definedName>
    <definedName name="_46h_F21">'Литовский б-р д.10 к.1'!$D$19</definedName>
    <definedName name="_46h_F22">'Литовский б-р д.10 к.1'!$D$20</definedName>
    <definedName name="_46h_F23">'Литовский б-р д.10 к.1'!$D$21</definedName>
    <definedName name="_46h_F24">'Литовский б-р д.10 к.1'!$D$22</definedName>
    <definedName name="_46h_F25">'Литовский б-р д.10 к.1'!$D$23</definedName>
    <definedName name="_46h_F26">'Литовский б-р д.10 к.1'!$D$24</definedName>
    <definedName name="_46h_F27">'Литовский б-р д.10 к.1'!$D$25</definedName>
    <definedName name="_46h_F28">'Литовский б-р д.10 к.1'!$D$26</definedName>
    <definedName name="_46h_F29">'Литовский б-р д.10 к.1'!$D$27</definedName>
    <definedName name="_46h_F30">'Литовский б-р д.10 к.1'!$D$28</definedName>
    <definedName name="_46h_F31">'Литовский б-р д.10 к.1'!$D$29</definedName>
    <definedName name="_46h_F32">'Литовский б-р д.10 к.1'!$D$30</definedName>
    <definedName name="_46h_F33">'Литовский б-р д.10 к.1'!$D$31</definedName>
    <definedName name="_46h_F34">'Литовский б-р д.10 к.1'!$D$32</definedName>
    <definedName name="_46h_F35">'Литовский б-р д.10 к.1'!$D$33</definedName>
    <definedName name="_46h_F36">'Литовский б-р д.10 к.1'!$D$34</definedName>
    <definedName name="_46h_F37">'Литовский б-р д.10 к.1'!$D$35</definedName>
    <definedName name="_46h_F38">'Литовский б-р д.10 к.1'!$D$36</definedName>
    <definedName name="_46h_F39">'Литовский б-р д.10 к.1'!$D$37</definedName>
    <definedName name="_46h_F40">'Литовский б-р д.10 к.1'!$D$38</definedName>
    <definedName name="_46h_F41">'Литовский б-р д.10 к.1'!$D$39</definedName>
    <definedName name="_46h_F42">'Литовский б-р д.10 к.1'!$D$40</definedName>
    <definedName name="_46h_F43">'Литовский б-р д.10 к.1'!$D$41</definedName>
    <definedName name="_46h_F44">'Литовский б-р д.10 к.1'!$D$42</definedName>
    <definedName name="_46h_F45">'Литовский б-р д.10 к.1'!$D$43</definedName>
    <definedName name="_46h_F46">'Литовский б-р д.10 к.1'!$D$44</definedName>
    <definedName name="_46h_F47">'Литовский б-р д.10 к.1'!$D$45</definedName>
    <definedName name="_46h_F48">'Литовский б-р д.10 к.1'!$D$46</definedName>
    <definedName name="_46h_F49">'Литовский б-р д.10 к.1'!$D$47</definedName>
    <definedName name="_46h_F50">'Литовский б-р д.10 к.1'!$D$48</definedName>
    <definedName name="_46h_F51">'Литовский б-р д.10 к.1'!$D$49</definedName>
    <definedName name="_46h_F52">'Литовский б-р д.10 к.1'!#REF!</definedName>
    <definedName name="_46h_F53">'Литовский б-р д.10 к.1'!$D$50</definedName>
    <definedName name="_46h_F54">'Литовский б-р д.10 к.1'!$D$51</definedName>
    <definedName name="_46h_F55">'Литовский б-р д.10 к.1'!$D$52</definedName>
    <definedName name="_46h_F56">'Литовский б-р д.10 к.1'!$D$53</definedName>
    <definedName name="_46h_F57">'Литовский б-р д.10 к.1'!$D$54</definedName>
    <definedName name="_46h_F58">'Литовский б-р д.10 к.1'!$D$55</definedName>
    <definedName name="_46h_F59">'Литовский б-р д.10 к.1'!$D$56</definedName>
    <definedName name="_46h_F60">'Литовский б-р д.10 к.1'!$D$57</definedName>
    <definedName name="_46h_F61">'Литовский б-р д.10 к.1'!$D$58</definedName>
    <definedName name="_46h_F62">'Литовский б-р д.10 к.1'!$D$59</definedName>
    <definedName name="_46h_F63">'Литовский б-р д.10 к.1'!#REF!</definedName>
    <definedName name="_46h_F64">'Литовский б-р д.10 к.1'!$D$60</definedName>
    <definedName name="_46h_F65">'Литовский б-р д.10 к.1'!$D$61</definedName>
    <definedName name="_46h_F7">'Литовский б-р д.10 к.1'!$D$5</definedName>
    <definedName name="_46h_F8">'Литовский б-р д.10 к.1'!$D$6</definedName>
    <definedName name="_46h_F9">'Литовский б-р д.10 к.1'!$D$7</definedName>
    <definedName name="_47h_E10">'Литовский б-р д.11 к.5'!$C$8</definedName>
    <definedName name="_47h_E11">'Литовский б-р д.11 к.5'!$C$9</definedName>
    <definedName name="_47h_E12">'Литовский б-р д.11 к.5'!$C$10</definedName>
    <definedName name="_47h_E13">'Литовский б-р д.11 к.5'!$C$11</definedName>
    <definedName name="_47h_E14">'Литовский б-р д.11 к.5'!$C$12</definedName>
    <definedName name="_47h_E15">'Литовский б-р д.11 к.5'!$C$13</definedName>
    <definedName name="_47h_E16">'Литовский б-р д.11 к.5'!$C$14</definedName>
    <definedName name="_47h_E17">'Литовский б-р д.11 к.5'!$C$15</definedName>
    <definedName name="_47h_E18">'Литовский б-р д.11 к.5'!$C$16</definedName>
    <definedName name="_47h_E19">'Литовский б-р д.11 к.5'!$C$17</definedName>
    <definedName name="_47h_E20">'Литовский б-р д.11 к.5'!$C$18</definedName>
    <definedName name="_47h_E21">'Литовский б-р д.11 к.5'!$C$19</definedName>
    <definedName name="_47h_E22">'Литовский б-р д.11 к.5'!$C$20</definedName>
    <definedName name="_47h_E23">'Литовский б-р д.11 к.5'!$C$21</definedName>
    <definedName name="_47h_E24">'Литовский б-р д.11 к.5'!$C$22</definedName>
    <definedName name="_47h_E25">'Литовский б-р д.11 к.5'!$C$23</definedName>
    <definedName name="_47h_E26">'Литовский б-р д.11 к.5'!$C$24</definedName>
    <definedName name="_47h_E27">'Литовский б-р д.11 к.5'!$C$25</definedName>
    <definedName name="_47h_E28">'Литовский б-р д.11 к.5'!$C$26</definedName>
    <definedName name="_47h_E29">'Литовский б-р д.11 к.5'!$C$27</definedName>
    <definedName name="_47h_E30">'Литовский б-р д.11 к.5'!$C$28</definedName>
    <definedName name="_47h_E31">'Литовский б-р д.11 к.5'!$C$29</definedName>
    <definedName name="_47h_E32">'Литовский б-р д.11 к.5'!$C$30</definedName>
    <definedName name="_47h_E33">'Литовский б-р д.11 к.5'!$C$31</definedName>
    <definedName name="_47h_E34">'Литовский б-р д.11 к.5'!$C$32</definedName>
    <definedName name="_47h_E35">'Литовский б-р д.11 к.5'!$C$33</definedName>
    <definedName name="_47h_E36">'Литовский б-р д.11 к.5'!$C$34</definedName>
    <definedName name="_47h_E37">'Литовский б-р д.11 к.5'!$C$35</definedName>
    <definedName name="_47h_E38">'Литовский б-р д.11 к.5'!$C$36</definedName>
    <definedName name="_47h_E39">'Литовский б-р д.11 к.5'!$C$37</definedName>
    <definedName name="_47h_E40">'Литовский б-р д.11 к.5'!$C$38</definedName>
    <definedName name="_47h_E41">'Литовский б-р д.11 к.5'!$C$39</definedName>
    <definedName name="_47h_E42">'Литовский б-р д.11 к.5'!$C$40</definedName>
    <definedName name="_47h_E43">'Литовский б-р д.11 к.5'!$C$41</definedName>
    <definedName name="_47h_E44">'Литовский б-р д.11 к.5'!$C$42</definedName>
    <definedName name="_47h_E45">'Литовский б-р д.11 к.5'!$C$43</definedName>
    <definedName name="_47h_E46">'Литовский б-р д.11 к.5'!$C$44</definedName>
    <definedName name="_47h_E47">'Литовский б-р д.11 к.5'!$C$45</definedName>
    <definedName name="_47h_E48">'Литовский б-р д.11 к.5'!$C$46</definedName>
    <definedName name="_47h_E49">'Литовский б-р д.11 к.5'!$C$47</definedName>
    <definedName name="_47h_E50">'Литовский б-р д.11 к.5'!$C$48</definedName>
    <definedName name="_47h_E51">'Литовский б-р д.11 к.5'!$C$49</definedName>
    <definedName name="_47h_E52">'Литовский б-р д.11 к.5'!#REF!</definedName>
    <definedName name="_47h_E53">'Литовский б-р д.11 к.5'!$C$50</definedName>
    <definedName name="_47h_E54">'Литовский б-р д.11 к.5'!$C$51</definedName>
    <definedName name="_47h_E55">'Литовский б-р д.11 к.5'!$C$52</definedName>
    <definedName name="_47h_E56">'Литовский б-р д.11 к.5'!$C$53</definedName>
    <definedName name="_47h_E57">'Литовский б-р д.11 к.5'!$C$54</definedName>
    <definedName name="_47h_E58">'Литовский б-р д.11 к.5'!$C$55</definedName>
    <definedName name="_47h_E59">'Литовский б-р д.11 к.5'!$C$56</definedName>
    <definedName name="_47h_E60">'Литовский б-р д.11 к.5'!$C$57</definedName>
    <definedName name="_47h_E61">'Литовский б-р д.11 к.5'!$C$58</definedName>
    <definedName name="_47h_E62">'Литовский б-р д.11 к.5'!$C$59</definedName>
    <definedName name="_47h_E63">'Литовский б-р д.11 к.5'!#REF!</definedName>
    <definedName name="_47h_E64">'Литовский б-р д.11 к.5'!$C$60</definedName>
    <definedName name="_47h_E65">'Литовский б-р д.11 к.5'!$C$61</definedName>
    <definedName name="_47h_E7">'Литовский б-р д.11 к.5'!$C$5</definedName>
    <definedName name="_47h_E8">'Литовский б-р д.11 к.5'!$C$6</definedName>
    <definedName name="_47h_E9">'Литовский б-р д.11 к.5'!$C$7</definedName>
    <definedName name="_47h_F10">'Литовский б-р д.11 к.5'!$D$8</definedName>
    <definedName name="_47h_F11">'Литовский б-р д.11 к.5'!$D$9</definedName>
    <definedName name="_47h_F12">'Литовский б-р д.11 к.5'!$D$10</definedName>
    <definedName name="_47h_F13">'Литовский б-р д.11 к.5'!$D$11</definedName>
    <definedName name="_47h_F14">'Литовский б-р д.11 к.5'!$D$12</definedName>
    <definedName name="_47h_F15">'Литовский б-р д.11 к.5'!$D$13</definedName>
    <definedName name="_47h_F16">'Литовский б-р д.11 к.5'!$D$14</definedName>
    <definedName name="_47h_F17">'Литовский б-р д.11 к.5'!$D$15</definedName>
    <definedName name="_47h_F18">'Литовский б-р д.11 к.5'!$D$16</definedName>
    <definedName name="_47h_F19">'Литовский б-р д.11 к.5'!$D$17</definedName>
    <definedName name="_47h_F20">'Литовский б-р д.11 к.5'!$D$18</definedName>
    <definedName name="_47h_F21">'Литовский б-р д.11 к.5'!$D$19</definedName>
    <definedName name="_47h_F22">'Литовский б-р д.11 к.5'!$D$20</definedName>
    <definedName name="_47h_F23">'Литовский б-р д.11 к.5'!$D$21</definedName>
    <definedName name="_47h_F24">'Литовский б-р д.11 к.5'!$D$22</definedName>
    <definedName name="_47h_F25">'Литовский б-р д.11 к.5'!$D$23</definedName>
    <definedName name="_47h_F26">'Литовский б-р д.11 к.5'!$D$24</definedName>
    <definedName name="_47h_F27">'Литовский б-р д.11 к.5'!$D$25</definedName>
    <definedName name="_47h_F28">'Литовский б-р д.11 к.5'!$D$26</definedName>
    <definedName name="_47h_F29">'Литовский б-р д.11 к.5'!$D$27</definedName>
    <definedName name="_47h_F30">'Литовский б-р д.11 к.5'!$D$28</definedName>
    <definedName name="_47h_F31">'Литовский б-р д.11 к.5'!$D$29</definedName>
    <definedName name="_47h_F32">'Литовский б-р д.11 к.5'!$D$30</definedName>
    <definedName name="_47h_F33">'Литовский б-р д.11 к.5'!$D$31</definedName>
    <definedName name="_47h_F34">'Литовский б-р д.11 к.5'!$D$32</definedName>
    <definedName name="_47h_F35">'Литовский б-р д.11 к.5'!$D$33</definedName>
    <definedName name="_47h_F36">'Литовский б-р д.11 к.5'!$D$34</definedName>
    <definedName name="_47h_F37">'Литовский б-р д.11 к.5'!$D$35</definedName>
    <definedName name="_47h_F38">'Литовский б-р д.11 к.5'!$D$36</definedName>
    <definedName name="_47h_F39">'Литовский б-р д.11 к.5'!$D$37</definedName>
    <definedName name="_47h_F40">'Литовский б-р д.11 к.5'!$D$38</definedName>
    <definedName name="_47h_F41">'Литовский б-р д.11 к.5'!$D$39</definedName>
    <definedName name="_47h_F42">'Литовский б-р д.11 к.5'!$D$40</definedName>
    <definedName name="_47h_F43">'Литовский б-р д.11 к.5'!$D$41</definedName>
    <definedName name="_47h_F44">'Литовский б-р д.11 к.5'!$D$42</definedName>
    <definedName name="_47h_F45">'Литовский б-р д.11 к.5'!$D$43</definedName>
    <definedName name="_47h_F46">'Литовский б-р д.11 к.5'!$D$44</definedName>
    <definedName name="_47h_F47">'Литовский б-р д.11 к.5'!$D$45</definedName>
    <definedName name="_47h_F48">'Литовский б-р д.11 к.5'!$D$46</definedName>
    <definedName name="_47h_F49">'Литовский б-р д.11 к.5'!$D$47</definedName>
    <definedName name="_47h_F50">'Литовский б-р д.11 к.5'!$D$48</definedName>
    <definedName name="_47h_F51">'Литовский б-р д.11 к.5'!$D$49</definedName>
    <definedName name="_47h_F52">'Литовский б-р д.11 к.5'!#REF!</definedName>
    <definedName name="_47h_F53">'Литовский б-р д.11 к.5'!$D$50</definedName>
    <definedName name="_47h_F54">'Литовский б-р д.11 к.5'!$D$51</definedName>
    <definedName name="_47h_F55">'Литовский б-р д.11 к.5'!$D$52</definedName>
    <definedName name="_47h_F56">'Литовский б-р д.11 к.5'!$D$53</definedName>
    <definedName name="_47h_F57">'Литовский б-р д.11 к.5'!$D$54</definedName>
    <definedName name="_47h_F58">'Литовский б-р д.11 к.5'!$D$55</definedName>
    <definedName name="_47h_F59">'Литовский б-р д.11 к.5'!$D$56</definedName>
    <definedName name="_47h_F60">'Литовский б-р д.11 к.5'!$D$57</definedName>
    <definedName name="_47h_F61">'Литовский б-р д.11 к.5'!$D$58</definedName>
    <definedName name="_47h_F62">'Литовский б-р д.11 к.5'!$D$59</definedName>
    <definedName name="_47h_F63">'Литовский б-р д.11 к.5'!#REF!</definedName>
    <definedName name="_47h_F64">'Литовский б-р д.11 к.5'!$D$60</definedName>
    <definedName name="_47h_F65">'Литовский б-р д.11 к.5'!$D$61</definedName>
    <definedName name="_47h_F7">'Литовский б-р д.11 к.5'!$D$5</definedName>
    <definedName name="_47h_F8">'Литовский б-р д.11 к.5'!$D$6</definedName>
    <definedName name="_47h_F9">'Литовский б-р д.11 к.5'!$D$7</definedName>
    <definedName name="_48h_E10">'Литовский б-р д.15 к.1'!$C$8</definedName>
    <definedName name="_48h_E11">'Литовский б-р д.15 к.1'!$C$9</definedName>
    <definedName name="_48h_E12">'Литовский б-р д.15 к.1'!$C$10</definedName>
    <definedName name="_48h_E13">'Литовский б-р д.15 к.1'!$C$11</definedName>
    <definedName name="_48h_E14">'Литовский б-р д.15 к.1'!$C$12</definedName>
    <definedName name="_48h_E15">'Литовский б-р д.15 к.1'!$C$13</definedName>
    <definedName name="_48h_E16">'Литовский б-р д.15 к.1'!$C$14</definedName>
    <definedName name="_48h_E17">'Литовский б-р д.15 к.1'!$C$15</definedName>
    <definedName name="_48h_E18">'Литовский б-р д.15 к.1'!$C$16</definedName>
    <definedName name="_48h_E19">'Литовский б-р д.15 к.1'!$C$17</definedName>
    <definedName name="_48h_E20">'Литовский б-р д.15 к.1'!$C$18</definedName>
    <definedName name="_48h_E21">'Литовский б-р д.15 к.1'!$C$19</definedName>
    <definedName name="_48h_E22">'Литовский б-р д.15 к.1'!$C$20</definedName>
    <definedName name="_48h_E23">'Литовский б-р д.15 к.1'!$C$21</definedName>
    <definedName name="_48h_E24">'Литовский б-р д.15 к.1'!$C$22</definedName>
    <definedName name="_48h_E25">'Литовский б-р д.15 к.1'!$C$23</definedName>
    <definedName name="_48h_E26">'Литовский б-р д.15 к.1'!$C$24</definedName>
    <definedName name="_48h_E27">'Литовский б-р д.15 к.1'!$C$25</definedName>
    <definedName name="_48h_E28">'Литовский б-р д.15 к.1'!$C$26</definedName>
    <definedName name="_48h_E29">'Литовский б-р д.15 к.1'!$C$27</definedName>
    <definedName name="_48h_E30">'Литовский б-р д.15 к.1'!$C$28</definedName>
    <definedName name="_48h_E31">'Литовский б-р д.15 к.1'!$C$29</definedName>
    <definedName name="_48h_E32">'Литовский б-р д.15 к.1'!$C$30</definedName>
    <definedName name="_48h_E33">'Литовский б-р д.15 к.1'!$C$31</definedName>
    <definedName name="_48h_E34">'Литовский б-р д.15 к.1'!$C$32</definedName>
    <definedName name="_48h_E35">'Литовский б-р д.15 к.1'!$C$33</definedName>
    <definedName name="_48h_E36">'Литовский б-р д.15 к.1'!$C$34</definedName>
    <definedName name="_48h_E37">'Литовский б-р д.15 к.1'!$C$35</definedName>
    <definedName name="_48h_E38">'Литовский б-р д.15 к.1'!$C$36</definedName>
    <definedName name="_48h_E39">'Литовский б-р д.15 к.1'!$C$37</definedName>
    <definedName name="_48h_E40">'Литовский б-р д.15 к.1'!$C$38</definedName>
    <definedName name="_48h_E41">'Литовский б-р д.15 к.1'!$C$39</definedName>
    <definedName name="_48h_E42">'Литовский б-р д.15 к.1'!$C$40</definedName>
    <definedName name="_48h_E43">'Литовский б-р д.15 к.1'!$C$41</definedName>
    <definedName name="_48h_E44">'Литовский б-р д.15 к.1'!$C$42</definedName>
    <definedName name="_48h_E45">'Литовский б-р д.15 к.1'!$C$43</definedName>
    <definedName name="_48h_E46">'Литовский б-р д.15 к.1'!$C$44</definedName>
    <definedName name="_48h_E47">'Литовский б-р д.15 к.1'!$C$45</definedName>
    <definedName name="_48h_E48">'Литовский б-р д.15 к.1'!$C$46</definedName>
    <definedName name="_48h_E49">'Литовский б-р д.15 к.1'!$C$47</definedName>
    <definedName name="_48h_E50">'Литовский б-р д.15 к.1'!$C$48</definedName>
    <definedName name="_48h_E51">'Литовский б-р д.15 к.1'!$C$49</definedName>
    <definedName name="_48h_E52">'Литовский б-р д.15 к.1'!#REF!</definedName>
    <definedName name="_48h_E53">'Литовский б-р д.15 к.1'!$C$50</definedName>
    <definedName name="_48h_E54">'Литовский б-р д.15 к.1'!$C$51</definedName>
    <definedName name="_48h_E55">'Литовский б-р д.15 к.1'!$C$52</definedName>
    <definedName name="_48h_E56">'Литовский б-р д.15 к.1'!$C$53</definedName>
    <definedName name="_48h_E57">'Литовский б-р д.15 к.1'!$C$54</definedName>
    <definedName name="_48h_E58">'Литовский б-р д.15 к.1'!$C$55</definedName>
    <definedName name="_48h_E59">'Литовский б-р д.15 к.1'!$C$56</definedName>
    <definedName name="_48h_E60">'Литовский б-р д.15 к.1'!$C$57</definedName>
    <definedName name="_48h_E61">'Литовский б-р д.15 к.1'!$C$58</definedName>
    <definedName name="_48h_E62">'Литовский б-р д.15 к.1'!$C$59</definedName>
    <definedName name="_48h_E63">'Литовский б-р д.15 к.1'!#REF!</definedName>
    <definedName name="_48h_E64">'Литовский б-р д.15 к.1'!$C$60</definedName>
    <definedName name="_48h_E65">'Литовский б-р д.15 к.1'!$C$61</definedName>
    <definedName name="_48h_E7">'Литовский б-р д.15 к.1'!$C$5</definedName>
    <definedName name="_48h_E8">'Литовский б-р д.15 к.1'!$C$6</definedName>
    <definedName name="_48h_E9">'Литовский б-р д.15 к.1'!$C$7</definedName>
    <definedName name="_48h_F10">'Литовский б-р д.15 к.1'!$D$8</definedName>
    <definedName name="_48h_F11">'Литовский б-р д.15 к.1'!$D$9</definedName>
    <definedName name="_48h_F12">'Литовский б-р д.15 к.1'!$D$10</definedName>
    <definedName name="_48h_F13">'Литовский б-р д.15 к.1'!$D$11</definedName>
    <definedName name="_48h_F14">'Литовский б-р д.15 к.1'!$D$12</definedName>
    <definedName name="_48h_F15">'Литовский б-р д.15 к.1'!$D$13</definedName>
    <definedName name="_48h_F16">'Литовский б-р д.15 к.1'!$D$14</definedName>
    <definedName name="_48h_F17">'Литовский б-р д.15 к.1'!$D$15</definedName>
    <definedName name="_48h_F18">'Литовский б-р д.15 к.1'!$D$16</definedName>
    <definedName name="_48h_F19">'Литовский б-р д.15 к.1'!$D$17</definedName>
    <definedName name="_48h_F20">'Литовский б-р д.15 к.1'!$D$18</definedName>
    <definedName name="_48h_F21">'Литовский б-р д.15 к.1'!$D$19</definedName>
    <definedName name="_48h_F22">'Литовский б-р д.15 к.1'!$D$20</definedName>
    <definedName name="_48h_F23">'Литовский б-р д.15 к.1'!$D$21</definedName>
    <definedName name="_48h_F24">'Литовский б-р д.15 к.1'!$D$22</definedName>
    <definedName name="_48h_F25">'Литовский б-р д.15 к.1'!$D$23</definedName>
    <definedName name="_48h_F26">'Литовский б-р д.15 к.1'!$D$24</definedName>
    <definedName name="_48h_F27">'Литовский б-р д.15 к.1'!$D$25</definedName>
    <definedName name="_48h_F28">'Литовский б-р д.15 к.1'!$D$26</definedName>
    <definedName name="_48h_F29">'Литовский б-р д.15 к.1'!$D$27</definedName>
    <definedName name="_48h_F30">'Литовский б-р д.15 к.1'!$D$28</definedName>
    <definedName name="_48h_F31">'Литовский б-р д.15 к.1'!$D$29</definedName>
    <definedName name="_48h_F32">'Литовский б-р д.15 к.1'!$D$30</definedName>
    <definedName name="_48h_F33">'Литовский б-р д.15 к.1'!$D$31</definedName>
    <definedName name="_48h_F34">'Литовский б-р д.15 к.1'!$D$32</definedName>
    <definedName name="_48h_F35">'Литовский б-р д.15 к.1'!$D$33</definedName>
    <definedName name="_48h_F36">'Литовский б-р д.15 к.1'!$D$34</definedName>
    <definedName name="_48h_F37">'Литовский б-р д.15 к.1'!$D$35</definedName>
    <definedName name="_48h_F38">'Литовский б-р д.15 к.1'!$D$36</definedName>
    <definedName name="_48h_F39">'Литовский б-р д.15 к.1'!$D$37</definedName>
    <definedName name="_48h_F40">'Литовский б-р д.15 к.1'!$D$38</definedName>
    <definedName name="_48h_F41">'Литовский б-р д.15 к.1'!$D$39</definedName>
    <definedName name="_48h_F42">'Литовский б-р д.15 к.1'!$D$40</definedName>
    <definedName name="_48h_F43">'Литовский б-р д.15 к.1'!$D$41</definedName>
    <definedName name="_48h_F44">'Литовский б-р д.15 к.1'!$D$42</definedName>
    <definedName name="_48h_F45">'Литовский б-р д.15 к.1'!$D$43</definedName>
    <definedName name="_48h_F46">'Литовский б-р д.15 к.1'!$D$44</definedName>
    <definedName name="_48h_F47">'Литовский б-р д.15 к.1'!$D$45</definedName>
    <definedName name="_48h_F48">'Литовский б-р д.15 к.1'!$D$46</definedName>
    <definedName name="_48h_F49">'Литовский б-р д.15 к.1'!$D$47</definedName>
    <definedName name="_48h_F50">'Литовский б-р д.15 к.1'!$D$48</definedName>
    <definedName name="_48h_F51">'Литовский б-р д.15 к.1'!$D$49</definedName>
    <definedName name="_48h_F52">'Литовский б-р д.15 к.1'!#REF!</definedName>
    <definedName name="_48h_F53">'Литовский б-р д.15 к.1'!$D$50</definedName>
    <definedName name="_48h_F54">'Литовский б-р д.15 к.1'!$D$51</definedName>
    <definedName name="_48h_F55">'Литовский б-р д.15 к.1'!$D$52</definedName>
    <definedName name="_48h_F56">'Литовский б-р д.15 к.1'!$D$53</definedName>
    <definedName name="_48h_F57">'Литовский б-р д.15 к.1'!$D$54</definedName>
    <definedName name="_48h_F58">'Литовский б-р д.15 к.1'!$D$55</definedName>
    <definedName name="_48h_F59">'Литовский б-р д.15 к.1'!$D$56</definedName>
    <definedName name="_48h_F60">'Литовский б-р д.15 к.1'!$D$57</definedName>
    <definedName name="_48h_F61">'Литовский б-р д.15 к.1'!$D$58</definedName>
    <definedName name="_48h_F62">'Литовский б-р д.15 к.1'!$D$59</definedName>
    <definedName name="_48h_F63">'Литовский б-р д.15 к.1'!#REF!</definedName>
    <definedName name="_48h_F64">'Литовский б-р д.15 к.1'!$D$60</definedName>
    <definedName name="_48h_F65">'Литовский б-р д.15 к.1'!$D$61</definedName>
    <definedName name="_48h_F7">'Литовский б-р д.15 к.1'!$D$5</definedName>
    <definedName name="_48h_F8">'Литовский б-р д.15 к.1'!$D$6</definedName>
    <definedName name="_48h_F9">'Литовский б-р д.15 к.1'!$D$7</definedName>
    <definedName name="_49h_E10">'Литовский б-р д.15 к.5'!$C$8</definedName>
    <definedName name="_49h_E11">'Литовский б-р д.15 к.5'!$C$9</definedName>
    <definedName name="_49h_E12">'Литовский б-р д.15 к.5'!$C$10</definedName>
    <definedName name="_49h_E13">'Литовский б-р д.15 к.5'!$C$11</definedName>
    <definedName name="_49h_E14">'Литовский б-р д.15 к.5'!$C$12</definedName>
    <definedName name="_49h_E15">'Литовский б-р д.15 к.5'!$C$13</definedName>
    <definedName name="_49h_E16">'Литовский б-р д.15 к.5'!$C$14</definedName>
    <definedName name="_49h_E17">'Литовский б-р д.15 к.5'!$C$15</definedName>
    <definedName name="_49h_E18">'Литовский б-р д.15 к.5'!$C$16</definedName>
    <definedName name="_49h_E19">'Литовский б-р д.15 к.5'!$C$17</definedName>
    <definedName name="_49h_E20">'Литовский б-р д.15 к.5'!$C$18</definedName>
    <definedName name="_49h_E21">'Литовский б-р д.15 к.5'!$C$19</definedName>
    <definedName name="_49h_E22">'Литовский б-р д.15 к.5'!$C$20</definedName>
    <definedName name="_49h_E23">'Литовский б-р д.15 к.5'!$C$21</definedName>
    <definedName name="_49h_E24">'Литовский б-р д.15 к.5'!$C$22</definedName>
    <definedName name="_49h_E25">'Литовский б-р д.15 к.5'!$C$23</definedName>
    <definedName name="_49h_E26">'Литовский б-р д.15 к.5'!$C$24</definedName>
    <definedName name="_49h_E27">'Литовский б-р д.15 к.5'!$C$25</definedName>
    <definedName name="_49h_E28">'Литовский б-р д.15 к.5'!$C$26</definedName>
    <definedName name="_49h_E29">'Литовский б-р д.15 к.5'!$C$27</definedName>
    <definedName name="_49h_E30">'Литовский б-р д.15 к.5'!$C$28</definedName>
    <definedName name="_49h_E31">'Литовский б-р д.15 к.5'!$C$29</definedName>
    <definedName name="_49h_E32">'Литовский б-р д.15 к.5'!$C$30</definedName>
    <definedName name="_49h_E33">'Литовский б-р д.15 к.5'!$C$31</definedName>
    <definedName name="_49h_E34">'Литовский б-р д.15 к.5'!$C$32</definedName>
    <definedName name="_49h_E35">'Литовский б-р д.15 к.5'!$C$33</definedName>
    <definedName name="_49h_E36">'Литовский б-р д.15 к.5'!$C$34</definedName>
    <definedName name="_49h_E37">'Литовский б-р д.15 к.5'!$C$35</definedName>
    <definedName name="_49h_E38">'Литовский б-р д.15 к.5'!$C$36</definedName>
    <definedName name="_49h_E39">'Литовский б-р д.15 к.5'!$C$37</definedName>
    <definedName name="_49h_E40">'Литовский б-р д.15 к.5'!$C$38</definedName>
    <definedName name="_49h_E41">'Литовский б-р д.15 к.5'!$C$39</definedName>
    <definedName name="_49h_E42">'Литовский б-р д.15 к.5'!$C$40</definedName>
    <definedName name="_49h_E43">'Литовский б-р д.15 к.5'!$C$41</definedName>
    <definedName name="_49h_E44">'Литовский б-р д.15 к.5'!$C$42</definedName>
    <definedName name="_49h_E45">'Литовский б-р д.15 к.5'!$C$43</definedName>
    <definedName name="_49h_E46">'Литовский б-р д.15 к.5'!$C$44</definedName>
    <definedName name="_49h_E47">'Литовский б-р д.15 к.5'!$C$45</definedName>
    <definedName name="_49h_E48">'Литовский б-р д.15 к.5'!$C$46</definedName>
    <definedName name="_49h_E49">'Литовский б-р д.15 к.5'!$C$47</definedName>
    <definedName name="_49h_E50">'Литовский б-р д.15 к.5'!$C$48</definedName>
    <definedName name="_49h_E51">'Литовский б-р д.15 к.5'!$C$49</definedName>
    <definedName name="_49h_E52">'Литовский б-р д.15 к.5'!#REF!</definedName>
    <definedName name="_49h_E53">'Литовский б-р д.15 к.5'!$C$50</definedName>
    <definedName name="_49h_E54">'Литовский б-р д.15 к.5'!$C$51</definedName>
    <definedName name="_49h_E55">'Литовский б-р д.15 к.5'!$C$52</definedName>
    <definedName name="_49h_E56">'Литовский б-р д.15 к.5'!$C$53</definedName>
    <definedName name="_49h_E57">'Литовский б-р д.15 к.5'!$C$54</definedName>
    <definedName name="_49h_E58">'Литовский б-р д.15 к.5'!$C$55</definedName>
    <definedName name="_49h_E59">'Литовский б-р д.15 к.5'!$C$56</definedName>
    <definedName name="_49h_E60">'Литовский б-р д.15 к.5'!$C$57</definedName>
    <definedName name="_49h_E61">'Литовский б-р д.15 к.5'!$C$58</definedName>
    <definedName name="_49h_E62">'Литовский б-р д.15 к.5'!$C$59</definedName>
    <definedName name="_49h_E63">'Литовский б-р д.15 к.5'!#REF!</definedName>
    <definedName name="_49h_E64">'Литовский б-р д.15 к.5'!$C$60</definedName>
    <definedName name="_49h_E65">'Литовский б-р д.15 к.5'!$C$61</definedName>
    <definedName name="_49h_E7">'Литовский б-р д.15 к.5'!$C$5</definedName>
    <definedName name="_49h_E8">'Литовский б-р д.15 к.5'!$C$6</definedName>
    <definedName name="_49h_E9">'Литовский б-р д.15 к.5'!$C$7</definedName>
    <definedName name="_49h_F10">'Литовский б-р д.15 к.5'!$D$8</definedName>
    <definedName name="_49h_F11">'Литовский б-р д.15 к.5'!$D$9</definedName>
    <definedName name="_49h_F12">'Литовский б-р д.15 к.5'!$D$10</definedName>
    <definedName name="_49h_F13">'Литовский б-р д.15 к.5'!$D$11</definedName>
    <definedName name="_49h_F14">'Литовский б-р д.15 к.5'!$D$12</definedName>
    <definedName name="_49h_F15">'Литовский б-р д.15 к.5'!$D$13</definedName>
    <definedName name="_49h_F16">'Литовский б-р д.15 к.5'!$D$14</definedName>
    <definedName name="_49h_F17">'Литовский б-р д.15 к.5'!$D$15</definedName>
    <definedName name="_49h_F18">'Литовский б-р д.15 к.5'!$D$16</definedName>
    <definedName name="_49h_F19">'Литовский б-р д.15 к.5'!$D$17</definedName>
    <definedName name="_49h_F20">'Литовский б-р д.15 к.5'!$D$18</definedName>
    <definedName name="_49h_F21">'Литовский б-р д.15 к.5'!$D$19</definedName>
    <definedName name="_49h_F22">'Литовский б-р д.15 к.5'!$D$20</definedName>
    <definedName name="_49h_F23">'Литовский б-р д.15 к.5'!$D$21</definedName>
    <definedName name="_49h_F24">'Литовский б-р д.15 к.5'!$D$22</definedName>
    <definedName name="_49h_F25">'Литовский б-р д.15 к.5'!$D$23</definedName>
    <definedName name="_49h_F26">'Литовский б-р д.15 к.5'!$D$24</definedName>
    <definedName name="_49h_F27">'Литовский б-р д.15 к.5'!$D$25</definedName>
    <definedName name="_49h_F28">'Литовский б-р д.15 к.5'!$D$26</definedName>
    <definedName name="_49h_F29">'Литовский б-р д.15 к.5'!$D$27</definedName>
    <definedName name="_49h_F30">'Литовский б-р д.15 к.5'!$D$28</definedName>
    <definedName name="_49h_F31">'Литовский б-р д.15 к.5'!$D$29</definedName>
    <definedName name="_49h_F32">'Литовский б-р д.15 к.5'!$D$30</definedName>
    <definedName name="_49h_F33">'Литовский б-р д.15 к.5'!$D$31</definedName>
    <definedName name="_49h_F34">'Литовский б-р д.15 к.5'!$D$32</definedName>
    <definedName name="_49h_F35">'Литовский б-р д.15 к.5'!$D$33</definedName>
    <definedName name="_49h_F36">'Литовский б-р д.15 к.5'!$D$34</definedName>
    <definedName name="_49h_F37">'Литовский б-р д.15 к.5'!$D$35</definedName>
    <definedName name="_49h_F38">'Литовский б-р д.15 к.5'!$D$36</definedName>
    <definedName name="_49h_F39">'Литовский б-р д.15 к.5'!$D$37</definedName>
    <definedName name="_49h_F40">'Литовский б-р д.15 к.5'!$D$38</definedName>
    <definedName name="_49h_F41">'Литовский б-р д.15 к.5'!$D$39</definedName>
    <definedName name="_49h_F42">'Литовский б-р д.15 к.5'!$D$40</definedName>
    <definedName name="_49h_F43">'Литовский б-р д.15 к.5'!$D$41</definedName>
    <definedName name="_49h_F44">'Литовский б-р д.15 к.5'!$D$42</definedName>
    <definedName name="_49h_F45">'Литовский б-р д.15 к.5'!$D$43</definedName>
    <definedName name="_49h_F46">'Литовский б-р д.15 к.5'!$D$44</definedName>
    <definedName name="_49h_F47">'Литовский б-р д.15 к.5'!$D$45</definedName>
    <definedName name="_49h_F48">'Литовский б-р д.15 к.5'!$D$46</definedName>
    <definedName name="_49h_F49">'Литовский б-р д.15 к.5'!$D$47</definedName>
    <definedName name="_49h_F50">'Литовский б-р д.15 к.5'!$D$48</definedName>
    <definedName name="_49h_F51">'Литовский б-р д.15 к.5'!$D$49</definedName>
    <definedName name="_49h_F52">'Литовский б-р д.15 к.5'!#REF!</definedName>
    <definedName name="_49h_F53">'Литовский б-р д.15 к.5'!$D$50</definedName>
    <definedName name="_49h_F54">'Литовский б-р д.15 к.5'!$D$51</definedName>
    <definedName name="_49h_F55">'Литовский б-р д.15 к.5'!$D$52</definedName>
    <definedName name="_49h_F56">'Литовский б-р д.15 к.5'!$D$53</definedName>
    <definedName name="_49h_F57">'Литовский б-р д.15 к.5'!$D$54</definedName>
    <definedName name="_49h_F58">'Литовский б-р д.15 к.5'!$D$55</definedName>
    <definedName name="_49h_F59">'Литовский б-р д.15 к.5'!$D$56</definedName>
    <definedName name="_49h_F60">'Литовский б-р д.15 к.5'!$D$57</definedName>
    <definedName name="_49h_F61">'Литовский б-р д.15 к.5'!$D$58</definedName>
    <definedName name="_49h_F62">'Литовский б-р д.15 к.5'!$D$59</definedName>
    <definedName name="_49h_F63">'Литовский б-р д.15 к.5'!#REF!</definedName>
    <definedName name="_49h_F64">'Литовский б-р д.15 к.5'!$D$60</definedName>
    <definedName name="_49h_F65">'Литовский б-р д.15 к.5'!$D$61</definedName>
    <definedName name="_49h_F7">'Литовский б-р д.15 к.5'!$D$5</definedName>
    <definedName name="_49h_F8">'Литовский б-р д.15 к.5'!$D$6</definedName>
    <definedName name="_49h_F9">'Литовский б-р д.15 к.5'!$D$7</definedName>
    <definedName name="_4h_E10">'Ай~ д.6 к.1 стр.п.1-8,18,19'!$C$8</definedName>
    <definedName name="_4h_E11">'Ай~ д.6 к.1 стр.п.1-8,18,19'!$C$9</definedName>
    <definedName name="_4h_E12">'Ай~ д.6 к.1 стр.п.1-8,18,19'!$C$10</definedName>
    <definedName name="_4h_E13">'Ай~ д.6 к.1 стр.п.1-8,18,19'!$C$11</definedName>
    <definedName name="_4h_E14">'Ай~ д.6 к.1 стр.п.1-8,18,19'!$C$12</definedName>
    <definedName name="_4h_E15">'Ай~ д.6 к.1 стр.п.1-8,18,19'!$C$13</definedName>
    <definedName name="_4h_E16">'Ай~ д.6 к.1 стр.п.1-8,18,19'!$C$14</definedName>
    <definedName name="_4h_E17">'Ай~ д.6 к.1 стр.п.1-8,18,19'!$C$15</definedName>
    <definedName name="_4h_E18">'Ай~ д.6 к.1 стр.п.1-8,18,19'!$C$16</definedName>
    <definedName name="_4h_E19">'Ай~ д.6 к.1 стр.п.1-8,18,19'!$C$17</definedName>
    <definedName name="_4h_E20">'Ай~ д.6 к.1 стр.п.1-8,18,19'!$C$18</definedName>
    <definedName name="_4h_E21">'Ай~ д.6 к.1 стр.п.1-8,18,19'!$C$19</definedName>
    <definedName name="_4h_E22">'Ай~ д.6 к.1 стр.п.1-8,18,19'!$C$20</definedName>
    <definedName name="_4h_E23">'Ай~ д.6 к.1 стр.п.1-8,18,19'!$C$21</definedName>
    <definedName name="_4h_E24">'Ай~ д.6 к.1 стр.п.1-8,18,19'!$C$22</definedName>
    <definedName name="_4h_E25">'Ай~ д.6 к.1 стр.п.1-8,18,19'!$C$23</definedName>
    <definedName name="_4h_E26">'Ай~ д.6 к.1 стр.п.1-8,18,19'!$C$24</definedName>
    <definedName name="_4h_E27">'Ай~ д.6 к.1 стр.п.1-8,18,19'!$C$25</definedName>
    <definedName name="_4h_E28">'Ай~ д.6 к.1 стр.п.1-8,18,19'!$C$26</definedName>
    <definedName name="_4h_E29">'Ай~ д.6 к.1 стр.п.1-8,18,19'!$C$27</definedName>
    <definedName name="_4h_E30">'Ай~ д.6 к.1 стр.п.1-8,18,19'!$C$28</definedName>
    <definedName name="_4h_E31">'Ай~ д.6 к.1 стр.п.1-8,18,19'!$C$29</definedName>
    <definedName name="_4h_E32">'Ай~ д.6 к.1 стр.п.1-8,18,19'!$C$30</definedName>
    <definedName name="_4h_E33">'Ай~ д.6 к.1 стр.п.1-8,18,19'!$C$31</definedName>
    <definedName name="_4h_E34">'Ай~ д.6 к.1 стр.п.1-8,18,19'!$C$32</definedName>
    <definedName name="_4h_E35">'Ай~ д.6 к.1 стр.п.1-8,18,19'!$C$33</definedName>
    <definedName name="_4h_E36">'Ай~ д.6 к.1 стр.п.1-8,18,19'!$C$34</definedName>
    <definedName name="_4h_E37">'Ай~ д.6 к.1 стр.п.1-8,18,19'!$C$35</definedName>
    <definedName name="_4h_E38">'Ай~ д.6 к.1 стр.п.1-8,18,19'!$C$36</definedName>
    <definedName name="_4h_E39">'Ай~ д.6 к.1 стр.п.1-8,18,19'!$C$37</definedName>
    <definedName name="_4h_E40">'Ай~ д.6 к.1 стр.п.1-8,18,19'!$C$38</definedName>
    <definedName name="_4h_E41">'Ай~ д.6 к.1 стр.п.1-8,18,19'!$C$39</definedName>
    <definedName name="_4h_E42">'Ай~ д.6 к.1 стр.п.1-8,18,19'!$C$40</definedName>
    <definedName name="_4h_E43">'Ай~ д.6 к.1 стр.п.1-8,18,19'!$C$41</definedName>
    <definedName name="_4h_E44">'Ай~ д.6 к.1 стр.п.1-8,18,19'!$C$42</definedName>
    <definedName name="_4h_E45">'Ай~ д.6 к.1 стр.п.1-8,18,19'!$C$43</definedName>
    <definedName name="_4h_E46">'Ай~ д.6 к.1 стр.п.1-8,18,19'!$C$44</definedName>
    <definedName name="_4h_E47">'Ай~ д.6 к.1 стр.п.1-8,18,19'!$C$45</definedName>
    <definedName name="_4h_E48">'Ай~ д.6 к.1 стр.п.1-8,18,19'!$C$46</definedName>
    <definedName name="_4h_E49">'Ай~ д.6 к.1 стр.п.1-8,18,19'!$C$47</definedName>
    <definedName name="_4h_E50">'Ай~ д.6 к.1 стр.п.1-8,18,19'!$C$48</definedName>
    <definedName name="_4h_E51">'Ай~ д.6 к.1 стр.п.1-8,18,19'!$C$49</definedName>
    <definedName name="_4h_E52">'Ай~ д.6 к.1 стр.п.1-8,18,19'!#REF!</definedName>
    <definedName name="_4h_E53">'Ай~ д.6 к.1 стр.п.1-8,18,19'!$C$50</definedName>
    <definedName name="_4h_E54">'Ай~ д.6 к.1 стр.п.1-8,18,19'!$C$51</definedName>
    <definedName name="_4h_E55">'Ай~ д.6 к.1 стр.п.1-8,18,19'!$C$52</definedName>
    <definedName name="_4h_E56">'Ай~ д.6 к.1 стр.п.1-8,18,19'!$C$53</definedName>
    <definedName name="_4h_E57">'Ай~ д.6 к.1 стр.п.1-8,18,19'!$C$54</definedName>
    <definedName name="_4h_E58">'Ай~ д.6 к.1 стр.п.1-8,18,19'!$C$55</definedName>
    <definedName name="_4h_E59">'Ай~ д.6 к.1 стр.п.1-8,18,19'!$C$56</definedName>
    <definedName name="_4h_E60">'Ай~ д.6 к.1 стр.п.1-8,18,19'!$C$57</definedName>
    <definedName name="_4h_E61">'Ай~ д.6 к.1 стр.п.1-8,18,19'!$C$58</definedName>
    <definedName name="_4h_E62">'Ай~ д.6 к.1 стр.п.1-8,18,19'!$C$59</definedName>
    <definedName name="_4h_E63">'Ай~ д.6 к.1 стр.п.1-8,18,19'!#REF!</definedName>
    <definedName name="_4h_E64">'Ай~ д.6 к.1 стр.п.1-8,18,19'!$C$60</definedName>
    <definedName name="_4h_E65">'Ай~ д.6 к.1 стр.п.1-8,18,19'!$C$61</definedName>
    <definedName name="_4h_E7">'Ай~ д.6 к.1 стр.п.1-8,18,19'!$C$5</definedName>
    <definedName name="_4h_E8">'Ай~ д.6 к.1 стр.п.1-8,18,19'!$C$6</definedName>
    <definedName name="_4h_E9">'Ай~ д.6 к.1 стр.п.1-8,18,19'!$C$7</definedName>
    <definedName name="_4h_F10">'Ай~ д.6 к.1 стр.п.1-8,18,19'!$D$8</definedName>
    <definedName name="_4h_F11">'Ай~ д.6 к.1 стр.п.1-8,18,19'!$D$9</definedName>
    <definedName name="_4h_F12">'Ай~ д.6 к.1 стр.п.1-8,18,19'!$D$10</definedName>
    <definedName name="_4h_F13">'Ай~ д.6 к.1 стр.п.1-8,18,19'!$D$11</definedName>
    <definedName name="_4h_F14">'Ай~ д.6 к.1 стр.п.1-8,18,19'!$D$12</definedName>
    <definedName name="_4h_F15">'Ай~ д.6 к.1 стр.п.1-8,18,19'!$D$13</definedName>
    <definedName name="_4h_F16">'Ай~ д.6 к.1 стр.п.1-8,18,19'!$D$14</definedName>
    <definedName name="_4h_F17">'Ай~ д.6 к.1 стр.п.1-8,18,19'!$D$15</definedName>
    <definedName name="_4h_F18">'Ай~ д.6 к.1 стр.п.1-8,18,19'!$D$16</definedName>
    <definedName name="_4h_F19">'Ай~ д.6 к.1 стр.п.1-8,18,19'!$D$17</definedName>
    <definedName name="_4h_F20">'Ай~ д.6 к.1 стр.п.1-8,18,19'!$D$18</definedName>
    <definedName name="_4h_F21">'Ай~ д.6 к.1 стр.п.1-8,18,19'!$D$19</definedName>
    <definedName name="_4h_F22">'Ай~ д.6 к.1 стр.п.1-8,18,19'!$D$20</definedName>
    <definedName name="_4h_F23">'Ай~ д.6 к.1 стр.п.1-8,18,19'!$D$21</definedName>
    <definedName name="_4h_F24">'Ай~ д.6 к.1 стр.п.1-8,18,19'!$D$22</definedName>
    <definedName name="_4h_F25">'Ай~ д.6 к.1 стр.п.1-8,18,19'!$D$23</definedName>
    <definedName name="_4h_F26">'Ай~ д.6 к.1 стр.п.1-8,18,19'!$D$24</definedName>
    <definedName name="_4h_F27">'Ай~ д.6 к.1 стр.п.1-8,18,19'!$D$25</definedName>
    <definedName name="_4h_F28">'Ай~ д.6 к.1 стр.п.1-8,18,19'!$D$26</definedName>
    <definedName name="_4h_F29">'Ай~ д.6 к.1 стр.п.1-8,18,19'!$D$27</definedName>
    <definedName name="_4h_F30">'Ай~ д.6 к.1 стр.п.1-8,18,19'!$D$28</definedName>
    <definedName name="_4h_F31">'Ай~ д.6 к.1 стр.п.1-8,18,19'!$D$29</definedName>
    <definedName name="_4h_F32">'Ай~ д.6 к.1 стр.п.1-8,18,19'!$D$30</definedName>
    <definedName name="_4h_F33">'Ай~ д.6 к.1 стр.п.1-8,18,19'!$D$31</definedName>
    <definedName name="_4h_F34">'Ай~ д.6 к.1 стр.п.1-8,18,19'!$D$32</definedName>
    <definedName name="_4h_F35">'Ай~ д.6 к.1 стр.п.1-8,18,19'!$D$33</definedName>
    <definedName name="_4h_F36">'Ай~ д.6 к.1 стр.п.1-8,18,19'!$D$34</definedName>
    <definedName name="_4h_F37">'Ай~ д.6 к.1 стр.п.1-8,18,19'!$D$35</definedName>
    <definedName name="_4h_F38">'Ай~ д.6 к.1 стр.п.1-8,18,19'!$D$36</definedName>
    <definedName name="_4h_F39">'Ай~ д.6 к.1 стр.п.1-8,18,19'!$D$37</definedName>
    <definedName name="_4h_F40">'Ай~ д.6 к.1 стр.п.1-8,18,19'!$D$38</definedName>
    <definedName name="_4h_F41">'Ай~ д.6 к.1 стр.п.1-8,18,19'!$D$39</definedName>
    <definedName name="_4h_F42">'Ай~ д.6 к.1 стр.п.1-8,18,19'!$D$40</definedName>
    <definedName name="_4h_F43">'Ай~ д.6 к.1 стр.п.1-8,18,19'!$D$41</definedName>
    <definedName name="_4h_F44">'Ай~ д.6 к.1 стр.п.1-8,18,19'!$D$42</definedName>
    <definedName name="_4h_F45">'Ай~ д.6 к.1 стр.п.1-8,18,19'!$D$43</definedName>
    <definedName name="_4h_F46">'Ай~ д.6 к.1 стр.п.1-8,18,19'!$D$44</definedName>
    <definedName name="_4h_F47">'Ай~ д.6 к.1 стр.п.1-8,18,19'!$D$45</definedName>
    <definedName name="_4h_F48">'Ай~ д.6 к.1 стр.п.1-8,18,19'!$D$46</definedName>
    <definedName name="_4h_F49">'Ай~ д.6 к.1 стр.п.1-8,18,19'!$D$47</definedName>
    <definedName name="_4h_F50">'Ай~ д.6 к.1 стр.п.1-8,18,19'!$D$48</definedName>
    <definedName name="_4h_F51">'Ай~ д.6 к.1 стр.п.1-8,18,19'!$D$49</definedName>
    <definedName name="_4h_F52">'Ай~ д.6 к.1 стр.п.1-8,18,19'!#REF!</definedName>
    <definedName name="_4h_F53">'Ай~ д.6 к.1 стр.п.1-8,18,19'!$D$50</definedName>
    <definedName name="_4h_F54">'Ай~ д.6 к.1 стр.п.1-8,18,19'!$D$51</definedName>
    <definedName name="_4h_F55">'Ай~ д.6 к.1 стр.п.1-8,18,19'!$D$52</definedName>
    <definedName name="_4h_F56">'Ай~ д.6 к.1 стр.п.1-8,18,19'!$D$53</definedName>
    <definedName name="_4h_F57">'Ай~ д.6 к.1 стр.п.1-8,18,19'!$D$54</definedName>
    <definedName name="_4h_F58">'Ай~ д.6 к.1 стр.п.1-8,18,19'!$D$55</definedName>
    <definedName name="_4h_F59">'Ай~ д.6 к.1 стр.п.1-8,18,19'!$D$56</definedName>
    <definedName name="_4h_F60">'Ай~ д.6 к.1 стр.п.1-8,18,19'!$D$57</definedName>
    <definedName name="_4h_F61">'Ай~ д.6 к.1 стр.п.1-8,18,19'!$D$58</definedName>
    <definedName name="_4h_F62">'Ай~ д.6 к.1 стр.п.1-8,18,19'!$D$59</definedName>
    <definedName name="_4h_F63">'Ай~ д.6 к.1 стр.п.1-8,18,19'!#REF!</definedName>
    <definedName name="_4h_F64">'Ай~ д.6 к.1 стр.п.1-8,18,19'!$D$60</definedName>
    <definedName name="_4h_F65">'Ай~ д.6 к.1 стр.п.1-8,18,19'!$D$61</definedName>
    <definedName name="_4h_F7">'Ай~ д.6 к.1 стр.п.1-8,18,19'!$D$5</definedName>
    <definedName name="_4h_F8">'Ай~ д.6 к.1 стр.п.1-8,18,19'!$D$6</definedName>
    <definedName name="_4h_F9">'Ай~ д.6 к.1 стр.п.1-8,18,19'!$D$7</definedName>
    <definedName name="_50h_E10">'Литовский б~ д.18 стр.п.1-2 '!$C$8</definedName>
    <definedName name="_50h_E11">'Литовский б~ д.18 стр.п.1-2 '!$C$9</definedName>
    <definedName name="_50h_E12">'Литовский б~ д.18 стр.п.1-2 '!$C$10</definedName>
    <definedName name="_50h_E13">'Литовский б~ д.18 стр.п.1-2 '!$C$11</definedName>
    <definedName name="_50h_E14">'Литовский б~ д.18 стр.п.1-2 '!$C$12</definedName>
    <definedName name="_50h_E15">'Литовский б~ д.18 стр.п.1-2 '!$C$13</definedName>
    <definedName name="_50h_E16">'Литовский б~ д.18 стр.п.1-2 '!$C$14</definedName>
    <definedName name="_50h_E17">'Литовский б~ д.18 стр.п.1-2 '!$C$15</definedName>
    <definedName name="_50h_E18">'Литовский б~ д.18 стр.п.1-2 '!$C$16</definedName>
    <definedName name="_50h_E19">'Литовский б~ д.18 стр.п.1-2 '!$C$17</definedName>
    <definedName name="_50h_E20">'Литовский б~ д.18 стр.п.1-2 '!$C$18</definedName>
    <definedName name="_50h_E21">'Литовский б~ д.18 стр.п.1-2 '!$C$19</definedName>
    <definedName name="_50h_E22">'Литовский б~ д.18 стр.п.1-2 '!$C$20</definedName>
    <definedName name="_50h_E23">'Литовский б~ д.18 стр.п.1-2 '!$C$21</definedName>
    <definedName name="_50h_E24">'Литовский б~ д.18 стр.п.1-2 '!$C$22</definedName>
    <definedName name="_50h_E25">'Литовский б~ д.18 стр.п.1-2 '!$C$23</definedName>
    <definedName name="_50h_E26">'Литовский б~ д.18 стр.п.1-2 '!$C$24</definedName>
    <definedName name="_50h_E27">'Литовский б~ д.18 стр.п.1-2 '!$C$25</definedName>
    <definedName name="_50h_E28">'Литовский б~ д.18 стр.п.1-2 '!$C$26</definedName>
    <definedName name="_50h_E29">'Литовский б~ д.18 стр.п.1-2 '!$C$27</definedName>
    <definedName name="_50h_E30">'Литовский б~ д.18 стр.п.1-2 '!$C$28</definedName>
    <definedName name="_50h_E31">'Литовский б~ д.18 стр.п.1-2 '!$C$29</definedName>
    <definedName name="_50h_E32">'Литовский б~ д.18 стр.п.1-2 '!$C$30</definedName>
    <definedName name="_50h_E33">'Литовский б~ д.18 стр.п.1-2 '!$C$31</definedName>
    <definedName name="_50h_E34">'Литовский б~ д.18 стр.п.1-2 '!$C$32</definedName>
    <definedName name="_50h_E35">'Литовский б~ д.18 стр.п.1-2 '!$C$33</definedName>
    <definedName name="_50h_E36">'Литовский б~ д.18 стр.п.1-2 '!$C$34</definedName>
    <definedName name="_50h_E37">'Литовский б~ д.18 стр.п.1-2 '!$C$35</definedName>
    <definedName name="_50h_E38">'Литовский б~ д.18 стр.п.1-2 '!$C$36</definedName>
    <definedName name="_50h_E39">'Литовский б~ д.18 стр.п.1-2 '!$C$37</definedName>
    <definedName name="_50h_E40">'Литовский б~ д.18 стр.п.1-2 '!$C$38</definedName>
    <definedName name="_50h_E41">'Литовский б~ д.18 стр.п.1-2 '!$C$39</definedName>
    <definedName name="_50h_E42">'Литовский б~ д.18 стр.п.1-2 '!$C$40</definedName>
    <definedName name="_50h_E43">'Литовский б~ д.18 стр.п.1-2 '!$C$41</definedName>
    <definedName name="_50h_E44">'Литовский б~ д.18 стр.п.1-2 '!$C$42</definedName>
    <definedName name="_50h_E45">'Литовский б~ д.18 стр.п.1-2 '!$C$43</definedName>
    <definedName name="_50h_E46">'Литовский б~ д.18 стр.п.1-2 '!$C$44</definedName>
    <definedName name="_50h_E47">'Литовский б~ д.18 стр.п.1-2 '!$C$45</definedName>
    <definedName name="_50h_E48">'Литовский б~ д.18 стр.п.1-2 '!$C$46</definedName>
    <definedName name="_50h_E49">'Литовский б~ д.18 стр.п.1-2 '!$C$47</definedName>
    <definedName name="_50h_E50">'Литовский б~ д.18 стр.п.1-2 '!$C$48</definedName>
    <definedName name="_50h_E51">'Литовский б~ д.18 стр.п.1-2 '!$C$49</definedName>
    <definedName name="_50h_E52">'Литовский б~ д.18 стр.п.1-2 '!#REF!</definedName>
    <definedName name="_50h_E53">'Литовский б~ д.18 стр.п.1-2 '!$C$50</definedName>
    <definedName name="_50h_E54">'Литовский б~ д.18 стр.п.1-2 '!$C$51</definedName>
    <definedName name="_50h_E55">'Литовский б~ д.18 стр.п.1-2 '!$C$52</definedName>
    <definedName name="_50h_E56">'Литовский б~ д.18 стр.п.1-2 '!$C$53</definedName>
    <definedName name="_50h_E57">'Литовский б~ д.18 стр.п.1-2 '!$C$54</definedName>
    <definedName name="_50h_E58">'Литовский б~ д.18 стр.п.1-2 '!$C$55</definedName>
    <definedName name="_50h_E59">'Литовский б~ д.18 стр.п.1-2 '!$C$56</definedName>
    <definedName name="_50h_E60">'Литовский б~ д.18 стр.п.1-2 '!$C$57</definedName>
    <definedName name="_50h_E61">'Литовский б~ д.18 стр.п.1-2 '!$C$58</definedName>
    <definedName name="_50h_E62">'Литовский б~ д.18 стр.п.1-2 '!$C$59</definedName>
    <definedName name="_50h_E63">'Литовский б~ д.18 стр.п.1-2 '!#REF!</definedName>
    <definedName name="_50h_E64">'Литовский б~ д.18 стр.п.1-2 '!$C$60</definedName>
    <definedName name="_50h_E65">'Литовский б~ д.18 стр.п.1-2 '!$C$61</definedName>
    <definedName name="_50h_E7">'Литовский б~ д.18 стр.п.1-2 '!$C$5</definedName>
    <definedName name="_50h_E8">'Литовский б~ д.18 стр.п.1-2 '!$C$6</definedName>
    <definedName name="_50h_E9">'Литовский б~ д.18 стр.п.1-2 '!$C$7</definedName>
    <definedName name="_50h_F10">'Литовский б~ д.18 стр.п.1-2 '!$D$8</definedName>
    <definedName name="_50h_F11">'Литовский б~ д.18 стр.п.1-2 '!$D$9</definedName>
    <definedName name="_50h_F12">'Литовский б~ д.18 стр.п.1-2 '!$D$10</definedName>
    <definedName name="_50h_F13">'Литовский б~ д.18 стр.п.1-2 '!$D$11</definedName>
    <definedName name="_50h_F14">'Литовский б~ д.18 стр.п.1-2 '!$D$12</definedName>
    <definedName name="_50h_F15">'Литовский б~ д.18 стр.п.1-2 '!$D$13</definedName>
    <definedName name="_50h_F16">'Литовский б~ д.18 стр.п.1-2 '!$D$14</definedName>
    <definedName name="_50h_F17">'Литовский б~ д.18 стр.п.1-2 '!$D$15</definedName>
    <definedName name="_50h_F18">'Литовский б~ д.18 стр.п.1-2 '!$D$16</definedName>
    <definedName name="_50h_F19">'Литовский б~ д.18 стр.п.1-2 '!$D$17</definedName>
    <definedName name="_50h_F20">'Литовский б~ д.18 стр.п.1-2 '!$D$18</definedName>
    <definedName name="_50h_F21">'Литовский б~ д.18 стр.п.1-2 '!$D$19</definedName>
    <definedName name="_50h_F22">'Литовский б~ д.18 стр.п.1-2 '!$D$20</definedName>
    <definedName name="_50h_F23">'Литовский б~ д.18 стр.п.1-2 '!$D$21</definedName>
    <definedName name="_50h_F24">'Литовский б~ д.18 стр.п.1-2 '!$D$22</definedName>
    <definedName name="_50h_F25">'Литовский б~ д.18 стр.п.1-2 '!$D$23</definedName>
    <definedName name="_50h_F26">'Литовский б~ д.18 стр.п.1-2 '!$D$24</definedName>
    <definedName name="_50h_F27">'Литовский б~ д.18 стр.п.1-2 '!$D$25</definedName>
    <definedName name="_50h_F28">'Литовский б~ д.18 стр.п.1-2 '!$D$26</definedName>
    <definedName name="_50h_F29">'Литовский б~ д.18 стр.п.1-2 '!$D$27</definedName>
    <definedName name="_50h_F30">'Литовский б~ д.18 стр.п.1-2 '!$D$28</definedName>
    <definedName name="_50h_F31">'Литовский б~ д.18 стр.п.1-2 '!$D$29</definedName>
    <definedName name="_50h_F32">'Литовский б~ д.18 стр.п.1-2 '!$D$30</definedName>
    <definedName name="_50h_F33">'Литовский б~ д.18 стр.п.1-2 '!$D$31</definedName>
    <definedName name="_50h_F34">'Литовский б~ д.18 стр.п.1-2 '!$D$32</definedName>
    <definedName name="_50h_F35">'Литовский б~ д.18 стр.п.1-2 '!$D$33</definedName>
    <definedName name="_50h_F36">'Литовский б~ д.18 стр.п.1-2 '!$D$34</definedName>
    <definedName name="_50h_F37">'Литовский б~ д.18 стр.п.1-2 '!$D$35</definedName>
    <definedName name="_50h_F38">'Литовский б~ д.18 стр.п.1-2 '!$D$36</definedName>
    <definedName name="_50h_F39">'Литовский б~ д.18 стр.п.1-2 '!$D$37</definedName>
    <definedName name="_50h_F40">'Литовский б~ д.18 стр.п.1-2 '!$D$38</definedName>
    <definedName name="_50h_F41">'Литовский б~ д.18 стр.п.1-2 '!$D$39</definedName>
    <definedName name="_50h_F42">'Литовский б~ д.18 стр.п.1-2 '!$D$40</definedName>
    <definedName name="_50h_F43">'Литовский б~ д.18 стр.п.1-2 '!$D$41</definedName>
    <definedName name="_50h_F44">'Литовский б~ д.18 стр.п.1-2 '!$D$42</definedName>
    <definedName name="_50h_F45">'Литовский б~ д.18 стр.п.1-2 '!$D$43</definedName>
    <definedName name="_50h_F46">'Литовский б~ д.18 стр.п.1-2 '!$D$44</definedName>
    <definedName name="_50h_F47">'Литовский б~ д.18 стр.п.1-2 '!$D$45</definedName>
    <definedName name="_50h_F48">'Литовский б~ д.18 стр.п.1-2 '!$D$46</definedName>
    <definedName name="_50h_F49">'Литовский б~ д.18 стр.п.1-2 '!$D$47</definedName>
    <definedName name="_50h_F50">'Литовский б~ д.18 стр.п.1-2 '!$D$48</definedName>
    <definedName name="_50h_F51">'Литовский б~ д.18 стр.п.1-2 '!$D$49</definedName>
    <definedName name="_50h_F52">'Литовский б~ д.18 стр.п.1-2 '!#REF!</definedName>
    <definedName name="_50h_F53">'Литовский б~ д.18 стр.п.1-2 '!$D$50</definedName>
    <definedName name="_50h_F54">'Литовский б~ д.18 стр.п.1-2 '!$D$51</definedName>
    <definedName name="_50h_F55">'Литовский б~ д.18 стр.п.1-2 '!$D$52</definedName>
    <definedName name="_50h_F56">'Литовский б~ д.18 стр.п.1-2 '!$D$53</definedName>
    <definedName name="_50h_F57">'Литовский б~ д.18 стр.п.1-2 '!$D$54</definedName>
    <definedName name="_50h_F58">'Литовский б~ д.18 стр.п.1-2 '!$D$55</definedName>
    <definedName name="_50h_F59">'Литовский б~ д.18 стр.п.1-2 '!$D$56</definedName>
    <definedName name="_50h_F60">'Литовский б~ д.18 стр.п.1-2 '!$D$57</definedName>
    <definedName name="_50h_F61">'Литовский б~ д.18 стр.п.1-2 '!$D$58</definedName>
    <definedName name="_50h_F62">'Литовский б~ д.18 стр.п.1-2 '!$D$59</definedName>
    <definedName name="_50h_F63">'Литовский б~ д.18 стр.п.1-2 '!#REF!</definedName>
    <definedName name="_50h_F64">'Литовский б~ д.18 стр.п.1-2 '!$D$60</definedName>
    <definedName name="_50h_F65">'Литовский б~ д.18 стр.п.1-2 '!$D$61</definedName>
    <definedName name="_50h_F7">'Литовский б~ д.18 стр.п.1-2 '!$D$5</definedName>
    <definedName name="_50h_F8">'Литовский б~ д.18 стр.п.1-2 '!$D$6</definedName>
    <definedName name="_50h_F9">'Литовский б~ д.18 стр.п.1-2 '!$D$7</definedName>
    <definedName name="_51h_E10">'Лито~ д.26 стр.п.1-4 ЖСК Широта'!$C$8</definedName>
    <definedName name="_51h_E11">'Лито~ д.26 стр.п.1-4 ЖСК Широта'!$C$9</definedName>
    <definedName name="_51h_E12">'Лито~ д.26 стр.п.1-4 ЖСК Широта'!$C$10</definedName>
    <definedName name="_51h_E13">'Лито~ д.26 стр.п.1-4 ЖСК Широта'!$C$11</definedName>
    <definedName name="_51h_E14">'Лито~ д.26 стр.п.1-4 ЖСК Широта'!$C$12</definedName>
    <definedName name="_51h_E15">'Лито~ д.26 стр.п.1-4 ЖСК Широта'!$C$13</definedName>
    <definedName name="_51h_E16">'Лито~ д.26 стр.п.1-4 ЖСК Широта'!$C$14</definedName>
    <definedName name="_51h_E17">'Лито~ д.26 стр.п.1-4 ЖСК Широта'!$C$15</definedName>
    <definedName name="_51h_E18">'Лито~ д.26 стр.п.1-4 ЖСК Широта'!$C$16</definedName>
    <definedName name="_51h_E19">'Лито~ д.26 стр.п.1-4 ЖСК Широта'!$C$17</definedName>
    <definedName name="_51h_E20">'Лито~ д.26 стр.п.1-4 ЖСК Широта'!$C$18</definedName>
    <definedName name="_51h_E21">'Лито~ д.26 стр.п.1-4 ЖСК Широта'!$C$19</definedName>
    <definedName name="_51h_E22">'Лито~ д.26 стр.п.1-4 ЖСК Широта'!$C$20</definedName>
    <definedName name="_51h_E23">'Лито~ д.26 стр.п.1-4 ЖСК Широта'!$C$21</definedName>
    <definedName name="_51h_E24">'Лито~ д.26 стр.п.1-4 ЖСК Широта'!$C$22</definedName>
    <definedName name="_51h_E25">'Лито~ д.26 стр.п.1-4 ЖСК Широта'!$C$23</definedName>
    <definedName name="_51h_E26">'Лито~ д.26 стр.п.1-4 ЖСК Широта'!$C$24</definedName>
    <definedName name="_51h_E27">'Лито~ д.26 стр.п.1-4 ЖСК Широта'!$C$25</definedName>
    <definedName name="_51h_E28">'Лито~ д.26 стр.п.1-4 ЖСК Широта'!$C$26</definedName>
    <definedName name="_51h_E29">'Лито~ д.26 стр.п.1-4 ЖСК Широта'!$C$27</definedName>
    <definedName name="_51h_E30">'Лито~ д.26 стр.п.1-4 ЖСК Широта'!$C$28</definedName>
    <definedName name="_51h_E31">'Лито~ д.26 стр.п.1-4 ЖСК Широта'!$C$29</definedName>
    <definedName name="_51h_E32">'Лито~ д.26 стр.п.1-4 ЖСК Широта'!$C$30</definedName>
    <definedName name="_51h_E33">'Лито~ д.26 стр.п.1-4 ЖСК Широта'!$C$31</definedName>
    <definedName name="_51h_E34">'Лито~ д.26 стр.п.1-4 ЖСК Широта'!$C$32</definedName>
    <definedName name="_51h_E35">'Лито~ д.26 стр.п.1-4 ЖСК Широта'!$C$33</definedName>
    <definedName name="_51h_E36">'Лито~ д.26 стр.п.1-4 ЖСК Широта'!$C$34</definedName>
    <definedName name="_51h_E37">'Лито~ д.26 стр.п.1-4 ЖСК Широта'!$C$35</definedName>
    <definedName name="_51h_E38">'Лито~ д.26 стр.п.1-4 ЖСК Широта'!$C$36</definedName>
    <definedName name="_51h_E39">'Лито~ д.26 стр.п.1-4 ЖСК Широта'!$C$37</definedName>
    <definedName name="_51h_E40">'Лито~ д.26 стр.п.1-4 ЖСК Широта'!$C$38</definedName>
    <definedName name="_51h_E41">'Лито~ д.26 стр.п.1-4 ЖСК Широта'!$C$39</definedName>
    <definedName name="_51h_E42">'Лито~ д.26 стр.п.1-4 ЖСК Широта'!$C$40</definedName>
    <definedName name="_51h_E43">'Лито~ д.26 стр.п.1-4 ЖСК Широта'!$C$41</definedName>
    <definedName name="_51h_E44">'Лито~ д.26 стр.п.1-4 ЖСК Широта'!$C$42</definedName>
    <definedName name="_51h_E45">'Лито~ д.26 стр.п.1-4 ЖСК Широта'!$C$43</definedName>
    <definedName name="_51h_E46">'Лито~ д.26 стр.п.1-4 ЖСК Широта'!$C$44</definedName>
    <definedName name="_51h_E47">'Лито~ д.26 стр.п.1-4 ЖСК Широта'!$C$45</definedName>
    <definedName name="_51h_E48">'Лито~ д.26 стр.п.1-4 ЖСК Широта'!$C$46</definedName>
    <definedName name="_51h_E49">'Лито~ д.26 стр.п.1-4 ЖСК Широта'!$C$47</definedName>
    <definedName name="_51h_E50">'Лито~ д.26 стр.п.1-4 ЖСК Широта'!$C$48</definedName>
    <definedName name="_51h_E51">'Лито~ д.26 стр.п.1-4 ЖСК Широта'!$C$49</definedName>
    <definedName name="_51h_E52">'Лито~ д.26 стр.п.1-4 ЖСК Широта'!#REF!</definedName>
    <definedName name="_51h_E53">'Лито~ д.26 стр.п.1-4 ЖСК Широта'!$C$50</definedName>
    <definedName name="_51h_E54">'Лито~ д.26 стр.п.1-4 ЖСК Широта'!$C$51</definedName>
    <definedName name="_51h_E55">'Лито~ д.26 стр.п.1-4 ЖСК Широта'!$C$52</definedName>
    <definedName name="_51h_E56">'Лито~ д.26 стр.п.1-4 ЖСК Широта'!$C$53</definedName>
    <definedName name="_51h_E57">'Лито~ д.26 стр.п.1-4 ЖСК Широта'!$C$54</definedName>
    <definedName name="_51h_E58">'Лито~ д.26 стр.п.1-4 ЖСК Широта'!$C$55</definedName>
    <definedName name="_51h_E59">'Лито~ д.26 стр.п.1-4 ЖСК Широта'!$C$56</definedName>
    <definedName name="_51h_E60">'Лито~ д.26 стр.п.1-4 ЖСК Широта'!$C$57</definedName>
    <definedName name="_51h_E61">'Лито~ д.26 стр.п.1-4 ЖСК Широта'!$C$58</definedName>
    <definedName name="_51h_E62">'Лито~ д.26 стр.п.1-4 ЖСК Широта'!$C$59</definedName>
    <definedName name="_51h_E63">'Лито~ д.26 стр.п.1-4 ЖСК Широта'!#REF!</definedName>
    <definedName name="_51h_E64">'Лито~ д.26 стр.п.1-4 ЖСК Широта'!$C$60</definedName>
    <definedName name="_51h_E65">'Лито~ д.26 стр.п.1-4 ЖСК Широта'!$C$61</definedName>
    <definedName name="_51h_E7">'Лито~ д.26 стр.п.1-4 ЖСК Широта'!$C$5</definedName>
    <definedName name="_51h_E8">'Лито~ д.26 стр.п.1-4 ЖСК Широта'!$C$6</definedName>
    <definedName name="_51h_E9">'Лито~ д.26 стр.п.1-4 ЖСК Широта'!$C$7</definedName>
    <definedName name="_51h_F10">'Лито~ д.26 стр.п.1-4 ЖСК Широта'!$D$8</definedName>
    <definedName name="_51h_F11">'Лито~ д.26 стр.п.1-4 ЖСК Широта'!$D$9</definedName>
    <definedName name="_51h_F12">'Лито~ д.26 стр.п.1-4 ЖСК Широта'!$D$10</definedName>
    <definedName name="_51h_F13">'Лито~ д.26 стр.п.1-4 ЖСК Широта'!$D$11</definedName>
    <definedName name="_51h_F14">'Лито~ д.26 стр.п.1-4 ЖСК Широта'!$D$12</definedName>
    <definedName name="_51h_F15">'Лито~ д.26 стр.п.1-4 ЖСК Широта'!$D$13</definedName>
    <definedName name="_51h_F16">'Лито~ д.26 стр.п.1-4 ЖСК Широта'!$D$14</definedName>
    <definedName name="_51h_F17">'Лито~ д.26 стр.п.1-4 ЖСК Широта'!$D$15</definedName>
    <definedName name="_51h_F18">'Лито~ д.26 стр.п.1-4 ЖСК Широта'!$D$16</definedName>
    <definedName name="_51h_F19">'Лито~ д.26 стр.п.1-4 ЖСК Широта'!$D$17</definedName>
    <definedName name="_51h_F20">'Лито~ д.26 стр.п.1-4 ЖСК Широта'!$D$18</definedName>
    <definedName name="_51h_F21">'Лито~ д.26 стр.п.1-4 ЖСК Широта'!$D$19</definedName>
    <definedName name="_51h_F22">'Лито~ д.26 стр.п.1-4 ЖСК Широта'!$D$20</definedName>
    <definedName name="_51h_F23">'Лито~ д.26 стр.п.1-4 ЖСК Широта'!$D$21</definedName>
    <definedName name="_51h_F24">'Лито~ д.26 стр.п.1-4 ЖСК Широта'!$D$22</definedName>
    <definedName name="_51h_F25">'Лито~ д.26 стр.п.1-4 ЖСК Широта'!$D$23</definedName>
    <definedName name="_51h_F26">'Лито~ д.26 стр.п.1-4 ЖСК Широта'!$D$24</definedName>
    <definedName name="_51h_F27">'Лито~ д.26 стр.п.1-4 ЖСК Широта'!$D$25</definedName>
    <definedName name="_51h_F28">'Лито~ д.26 стр.п.1-4 ЖСК Широта'!$D$26</definedName>
    <definedName name="_51h_F29">'Лито~ д.26 стр.п.1-4 ЖСК Широта'!$D$27</definedName>
    <definedName name="_51h_F30">'Лито~ д.26 стр.п.1-4 ЖСК Широта'!$D$28</definedName>
    <definedName name="_51h_F31">'Лито~ д.26 стр.п.1-4 ЖСК Широта'!$D$29</definedName>
    <definedName name="_51h_F32">'Лито~ д.26 стр.п.1-4 ЖСК Широта'!$D$30</definedName>
    <definedName name="_51h_F33">'Лито~ д.26 стр.п.1-4 ЖСК Широта'!$D$31</definedName>
    <definedName name="_51h_F34">'Лито~ д.26 стр.п.1-4 ЖСК Широта'!$D$32</definedName>
    <definedName name="_51h_F35">'Лито~ д.26 стр.п.1-4 ЖСК Широта'!$D$33</definedName>
    <definedName name="_51h_F36">'Лито~ д.26 стр.п.1-4 ЖСК Широта'!$D$34</definedName>
    <definedName name="_51h_F37">'Лито~ д.26 стр.п.1-4 ЖСК Широта'!$D$35</definedName>
    <definedName name="_51h_F38">'Лито~ д.26 стр.п.1-4 ЖСК Широта'!$D$36</definedName>
    <definedName name="_51h_F39">'Лито~ д.26 стр.п.1-4 ЖСК Широта'!$D$37</definedName>
    <definedName name="_51h_F40">'Лито~ д.26 стр.п.1-4 ЖСК Широта'!$D$38</definedName>
    <definedName name="_51h_F41">'Лито~ д.26 стр.п.1-4 ЖСК Широта'!$D$39</definedName>
    <definedName name="_51h_F42">'Лито~ д.26 стр.п.1-4 ЖСК Широта'!$D$40</definedName>
    <definedName name="_51h_F43">'Лито~ д.26 стр.п.1-4 ЖСК Широта'!$D$41</definedName>
    <definedName name="_51h_F44">'Лито~ д.26 стр.п.1-4 ЖСК Широта'!$D$42</definedName>
    <definedName name="_51h_F45">'Лито~ д.26 стр.п.1-4 ЖСК Широта'!$D$43</definedName>
    <definedName name="_51h_F46">'Лито~ д.26 стр.п.1-4 ЖСК Широта'!$D$44</definedName>
    <definedName name="_51h_F47">'Лито~ д.26 стр.п.1-4 ЖСК Широта'!$D$45</definedName>
    <definedName name="_51h_F48">'Лито~ д.26 стр.п.1-4 ЖСК Широта'!$D$46</definedName>
    <definedName name="_51h_F49">'Лито~ д.26 стр.п.1-4 ЖСК Широта'!$D$47</definedName>
    <definedName name="_51h_F50">'Лито~ д.26 стр.п.1-4 ЖСК Широта'!$D$48</definedName>
    <definedName name="_51h_F51">'Лито~ д.26 стр.п.1-4 ЖСК Широта'!$D$49</definedName>
    <definedName name="_51h_F52">'Лито~ д.26 стр.п.1-4 ЖСК Широта'!#REF!</definedName>
    <definedName name="_51h_F53">'Лито~ д.26 стр.п.1-4 ЖСК Широта'!$D$50</definedName>
    <definedName name="_51h_F54">'Лито~ д.26 стр.п.1-4 ЖСК Широта'!$D$51</definedName>
    <definedName name="_51h_F55">'Лито~ д.26 стр.п.1-4 ЖСК Широта'!$D$52</definedName>
    <definedName name="_51h_F56">'Лито~ д.26 стр.п.1-4 ЖСК Широта'!$D$53</definedName>
    <definedName name="_51h_F57">'Лито~ д.26 стр.п.1-4 ЖСК Широта'!$D$54</definedName>
    <definedName name="_51h_F58">'Лито~ д.26 стр.п.1-4 ЖСК Широта'!$D$55</definedName>
    <definedName name="_51h_F59">'Лито~ д.26 стр.п.1-4 ЖСК Широта'!$D$56</definedName>
    <definedName name="_51h_F60">'Лито~ д.26 стр.п.1-4 ЖСК Широта'!$D$57</definedName>
    <definedName name="_51h_F61">'Лито~ д.26 стр.п.1-4 ЖСК Широта'!$D$58</definedName>
    <definedName name="_51h_F62">'Лито~ д.26 стр.п.1-4 ЖСК Широта'!$D$59</definedName>
    <definedName name="_51h_F63">'Лито~ д.26 стр.п.1-4 ЖСК Широта'!#REF!</definedName>
    <definedName name="_51h_F64">'Лито~ д.26 стр.п.1-4 ЖСК Широта'!$D$60</definedName>
    <definedName name="_51h_F65">'Лито~ д.26 стр.п.1-4 ЖСК Широта'!$D$61</definedName>
    <definedName name="_51h_F7">'Лито~ д.26 стр.п.1-4 ЖСК Широта'!$D$5</definedName>
    <definedName name="_51h_F8">'Лито~ д.26 стр.п.1-4 ЖСК Широта'!$D$6</definedName>
    <definedName name="_51h_F9">'Лито~ д.26 стр.п.1-4 ЖСК Широта'!$D$7</definedName>
    <definedName name="_52h_E10">'Литовский б~ д.26 стр.п.5-6 '!$C$8</definedName>
    <definedName name="_52h_E11">'Литовский б~ д.26 стр.п.5-6 '!$C$9</definedName>
    <definedName name="_52h_E12">'Литовский б~ д.26 стр.п.5-6 '!$C$10</definedName>
    <definedName name="_52h_E13">'Литовский б~ д.26 стр.п.5-6 '!$C$11</definedName>
    <definedName name="_52h_E14">'Литовский б~ д.26 стр.п.5-6 '!$C$12</definedName>
    <definedName name="_52h_E15">'Литовский б~ д.26 стр.п.5-6 '!$C$13</definedName>
    <definedName name="_52h_E16">'Литовский б~ д.26 стр.п.5-6 '!$C$14</definedName>
    <definedName name="_52h_E17">'Литовский б~ д.26 стр.п.5-6 '!$C$15</definedName>
    <definedName name="_52h_E18">'Литовский б~ д.26 стр.п.5-6 '!$C$16</definedName>
    <definedName name="_52h_E19">'Литовский б~ д.26 стр.п.5-6 '!$C$17</definedName>
    <definedName name="_52h_E20">'Литовский б~ д.26 стр.п.5-6 '!$C$18</definedName>
    <definedName name="_52h_E21">'Литовский б~ д.26 стр.п.5-6 '!$C$19</definedName>
    <definedName name="_52h_E22">'Литовский б~ д.26 стр.п.5-6 '!$C$20</definedName>
    <definedName name="_52h_E23">'Литовский б~ д.26 стр.п.5-6 '!$C$21</definedName>
    <definedName name="_52h_E24">'Литовский б~ д.26 стр.п.5-6 '!$C$22</definedName>
    <definedName name="_52h_E25">'Литовский б~ д.26 стр.п.5-6 '!$C$23</definedName>
    <definedName name="_52h_E26">'Литовский б~ д.26 стр.п.5-6 '!$C$24</definedName>
    <definedName name="_52h_E27">'Литовский б~ д.26 стр.п.5-6 '!$C$25</definedName>
    <definedName name="_52h_E28">'Литовский б~ д.26 стр.п.5-6 '!$C$26</definedName>
    <definedName name="_52h_E29">'Литовский б~ д.26 стр.п.5-6 '!$C$27</definedName>
    <definedName name="_52h_E30">'Литовский б~ д.26 стр.п.5-6 '!$C$28</definedName>
    <definedName name="_52h_E31">'Литовский б~ д.26 стр.п.5-6 '!$C$29</definedName>
    <definedName name="_52h_E32">'Литовский б~ д.26 стр.п.5-6 '!$C$30</definedName>
    <definedName name="_52h_E33">'Литовский б~ д.26 стр.п.5-6 '!$C$31</definedName>
    <definedName name="_52h_E34">'Литовский б~ д.26 стр.п.5-6 '!$C$32</definedName>
    <definedName name="_52h_E35">'Литовский б~ д.26 стр.п.5-6 '!$C$33</definedName>
    <definedName name="_52h_E36">'Литовский б~ д.26 стр.п.5-6 '!$C$34</definedName>
    <definedName name="_52h_E37">'Литовский б~ д.26 стр.п.5-6 '!$C$35</definedName>
    <definedName name="_52h_E38">'Литовский б~ д.26 стр.п.5-6 '!$C$36</definedName>
    <definedName name="_52h_E39">'Литовский б~ д.26 стр.п.5-6 '!$C$37</definedName>
    <definedName name="_52h_E40">'Литовский б~ д.26 стр.п.5-6 '!$C$38</definedName>
    <definedName name="_52h_E41">'Литовский б~ д.26 стр.п.5-6 '!$C$39</definedName>
    <definedName name="_52h_E42">'Литовский б~ д.26 стр.п.5-6 '!$C$40</definedName>
    <definedName name="_52h_E43">'Литовский б~ д.26 стр.п.5-6 '!$C$41</definedName>
    <definedName name="_52h_E44">'Литовский б~ д.26 стр.п.5-6 '!$C$42</definedName>
    <definedName name="_52h_E45">'Литовский б~ д.26 стр.п.5-6 '!$C$43</definedName>
    <definedName name="_52h_E46">'Литовский б~ д.26 стр.п.5-6 '!$C$44</definedName>
    <definedName name="_52h_E47">'Литовский б~ д.26 стр.п.5-6 '!$C$45</definedName>
    <definedName name="_52h_E48">'Литовский б~ д.26 стр.п.5-6 '!$C$46</definedName>
    <definedName name="_52h_E49">'Литовский б~ д.26 стр.п.5-6 '!$C$47</definedName>
    <definedName name="_52h_E50">'Литовский б~ д.26 стр.п.5-6 '!$C$48</definedName>
    <definedName name="_52h_E51">'Литовский б~ д.26 стр.п.5-6 '!$C$49</definedName>
    <definedName name="_52h_E52">'Литовский б~ д.26 стр.п.5-6 '!#REF!</definedName>
    <definedName name="_52h_E53">'Литовский б~ д.26 стр.п.5-6 '!$C$50</definedName>
    <definedName name="_52h_E54">'Литовский б~ д.26 стр.п.5-6 '!$C$51</definedName>
    <definedName name="_52h_E55">'Литовский б~ д.26 стр.п.5-6 '!$C$52</definedName>
    <definedName name="_52h_E56">'Литовский б~ д.26 стр.п.5-6 '!$C$53</definedName>
    <definedName name="_52h_E57">'Литовский б~ д.26 стр.п.5-6 '!$C$54</definedName>
    <definedName name="_52h_E58">'Литовский б~ д.26 стр.п.5-6 '!$C$55</definedName>
    <definedName name="_52h_E59">'Литовский б~ д.26 стр.п.5-6 '!$C$56</definedName>
    <definedName name="_52h_E60">'Литовский б~ д.26 стр.п.5-6 '!$C$57</definedName>
    <definedName name="_52h_E61">'Литовский б~ д.26 стр.п.5-6 '!$C$58</definedName>
    <definedName name="_52h_E62">'Литовский б~ д.26 стр.п.5-6 '!$C$59</definedName>
    <definedName name="_52h_E63">'Литовский б~ д.26 стр.п.5-6 '!#REF!</definedName>
    <definedName name="_52h_E64">'Литовский б~ д.26 стр.п.5-6 '!$C$60</definedName>
    <definedName name="_52h_E65">'Литовский б~ д.26 стр.п.5-6 '!$C$61</definedName>
    <definedName name="_52h_E7">'Литовский б~ д.26 стр.п.5-6 '!$C$5</definedName>
    <definedName name="_52h_E8">'Литовский б~ д.26 стр.п.5-6 '!$C$6</definedName>
    <definedName name="_52h_E9">'Литовский б~ д.26 стр.п.5-6 '!$C$7</definedName>
    <definedName name="_52h_F10">'Литовский б~ д.26 стр.п.5-6 '!$D$8</definedName>
    <definedName name="_52h_F11">'Литовский б~ д.26 стр.п.5-6 '!$D$9</definedName>
    <definedName name="_52h_F12">'Литовский б~ д.26 стр.п.5-6 '!$D$10</definedName>
    <definedName name="_52h_F13">'Литовский б~ д.26 стр.п.5-6 '!$D$11</definedName>
    <definedName name="_52h_F14">'Литовский б~ д.26 стр.п.5-6 '!$D$12</definedName>
    <definedName name="_52h_F15">'Литовский б~ д.26 стр.п.5-6 '!$D$13</definedName>
    <definedName name="_52h_F16">'Литовский б~ д.26 стр.п.5-6 '!$D$14</definedName>
    <definedName name="_52h_F17">'Литовский б~ д.26 стр.п.5-6 '!$D$15</definedName>
    <definedName name="_52h_F18">'Литовский б~ д.26 стр.п.5-6 '!$D$16</definedName>
    <definedName name="_52h_F19">'Литовский б~ д.26 стр.п.5-6 '!$D$17</definedName>
    <definedName name="_52h_F20">'Литовский б~ д.26 стр.п.5-6 '!$D$18</definedName>
    <definedName name="_52h_F21">'Литовский б~ д.26 стр.п.5-6 '!$D$19</definedName>
    <definedName name="_52h_F22">'Литовский б~ д.26 стр.п.5-6 '!$D$20</definedName>
    <definedName name="_52h_F23">'Литовский б~ д.26 стр.п.5-6 '!$D$21</definedName>
    <definedName name="_52h_F24">'Литовский б~ д.26 стр.п.5-6 '!$D$22</definedName>
    <definedName name="_52h_F25">'Литовский б~ д.26 стр.п.5-6 '!$D$23</definedName>
    <definedName name="_52h_F26">'Литовский б~ д.26 стр.п.5-6 '!$D$24</definedName>
    <definedName name="_52h_F27">'Литовский б~ д.26 стр.п.5-6 '!$D$25</definedName>
    <definedName name="_52h_F28">'Литовский б~ д.26 стр.п.5-6 '!$D$26</definedName>
    <definedName name="_52h_F29">'Литовский б~ д.26 стр.п.5-6 '!$D$27</definedName>
    <definedName name="_52h_F30">'Литовский б~ д.26 стр.п.5-6 '!$D$28</definedName>
    <definedName name="_52h_F31">'Литовский б~ д.26 стр.п.5-6 '!$D$29</definedName>
    <definedName name="_52h_F32">'Литовский б~ д.26 стр.п.5-6 '!$D$30</definedName>
    <definedName name="_52h_F33">'Литовский б~ д.26 стр.п.5-6 '!$D$31</definedName>
    <definedName name="_52h_F34">'Литовский б~ д.26 стр.п.5-6 '!$D$32</definedName>
    <definedName name="_52h_F35">'Литовский б~ д.26 стр.п.5-6 '!$D$33</definedName>
    <definedName name="_52h_F36">'Литовский б~ д.26 стр.п.5-6 '!$D$34</definedName>
    <definedName name="_52h_F37">'Литовский б~ д.26 стр.п.5-6 '!$D$35</definedName>
    <definedName name="_52h_F38">'Литовский б~ д.26 стр.п.5-6 '!$D$36</definedName>
    <definedName name="_52h_F39">'Литовский б~ д.26 стр.п.5-6 '!$D$37</definedName>
    <definedName name="_52h_F40">'Литовский б~ д.26 стр.п.5-6 '!$D$38</definedName>
    <definedName name="_52h_F41">'Литовский б~ д.26 стр.п.5-6 '!$D$39</definedName>
    <definedName name="_52h_F42">'Литовский б~ д.26 стр.п.5-6 '!$D$40</definedName>
    <definedName name="_52h_F43">'Литовский б~ д.26 стр.п.5-6 '!$D$41</definedName>
    <definedName name="_52h_F44">'Литовский б~ д.26 стр.п.5-6 '!$D$42</definedName>
    <definedName name="_52h_F45">'Литовский б~ д.26 стр.п.5-6 '!$D$43</definedName>
    <definedName name="_52h_F46">'Литовский б~ д.26 стр.п.5-6 '!$D$44</definedName>
    <definedName name="_52h_F47">'Литовский б~ д.26 стр.п.5-6 '!$D$45</definedName>
    <definedName name="_52h_F48">'Литовский б~ д.26 стр.п.5-6 '!$D$46</definedName>
    <definedName name="_52h_F49">'Литовский б~ д.26 стр.п.5-6 '!$D$47</definedName>
    <definedName name="_52h_F50">'Литовский б~ д.26 стр.п.5-6 '!$D$48</definedName>
    <definedName name="_52h_F51">'Литовский б~ д.26 стр.п.5-6 '!$D$49</definedName>
    <definedName name="_52h_F52">'Литовский б~ д.26 стр.п.5-6 '!#REF!</definedName>
    <definedName name="_52h_F53">'Литовский б~ д.26 стр.п.5-6 '!$D$50</definedName>
    <definedName name="_52h_F54">'Литовский б~ д.26 стр.п.5-6 '!$D$51</definedName>
    <definedName name="_52h_F55">'Литовский б~ д.26 стр.п.5-6 '!$D$52</definedName>
    <definedName name="_52h_F56">'Литовский б~ д.26 стр.п.5-6 '!$D$53</definedName>
    <definedName name="_52h_F57">'Литовский б~ д.26 стр.п.5-6 '!$D$54</definedName>
    <definedName name="_52h_F58">'Литовский б~ д.26 стр.п.5-6 '!$D$55</definedName>
    <definedName name="_52h_F59">'Литовский б~ д.26 стр.п.5-6 '!$D$56</definedName>
    <definedName name="_52h_F60">'Литовский б~ д.26 стр.п.5-6 '!$D$57</definedName>
    <definedName name="_52h_F61">'Литовский б~ д.26 стр.п.5-6 '!$D$58</definedName>
    <definedName name="_52h_F62">'Литовский б~ д.26 стр.п.5-6 '!$D$59</definedName>
    <definedName name="_52h_F63">'Литовский б~ д.26 стр.п.5-6 '!#REF!</definedName>
    <definedName name="_52h_F64">'Литовский б~ д.26 стр.п.5-6 '!$D$60</definedName>
    <definedName name="_52h_F65">'Литовский б~ д.26 стр.п.5-6 '!$D$61</definedName>
    <definedName name="_52h_F7">'Литовский б~ д.26 стр.п.5-6 '!$D$5</definedName>
    <definedName name="_52h_F8">'Литовский б~ д.26 стр.п.5-6 '!$D$6</definedName>
    <definedName name="_52h_F9">'Литовский б~ д.26 стр.п.5-6 '!$D$7</definedName>
    <definedName name="_53h_E10">'Литовский б-р д.30'!$C$8</definedName>
    <definedName name="_53h_E11">'Литовский б-р д.30'!$C$9</definedName>
    <definedName name="_53h_E12">'Литовский б-р д.30'!$C$10</definedName>
    <definedName name="_53h_E13">'Литовский б-р д.30'!$C$11</definedName>
    <definedName name="_53h_E14">'Литовский б-р д.30'!$C$12</definedName>
    <definedName name="_53h_E15">'Литовский б-р д.30'!$C$13</definedName>
    <definedName name="_53h_E16">'Литовский б-р д.30'!$C$14</definedName>
    <definedName name="_53h_E17">'Литовский б-р д.30'!$C$15</definedName>
    <definedName name="_53h_E18">'Литовский б-р д.30'!$C$16</definedName>
    <definedName name="_53h_E19">'Литовский б-р д.30'!$C$17</definedName>
    <definedName name="_53h_E20">'Литовский б-р д.30'!$C$18</definedName>
    <definedName name="_53h_E21">'Литовский б-р д.30'!$C$19</definedName>
    <definedName name="_53h_E22">'Литовский б-р д.30'!$C$20</definedName>
    <definedName name="_53h_E23">'Литовский б-р д.30'!$C$21</definedName>
    <definedName name="_53h_E24">'Литовский б-р д.30'!$C$22</definedName>
    <definedName name="_53h_E25">'Литовский б-р д.30'!$C$23</definedName>
    <definedName name="_53h_E26">'Литовский б-р д.30'!$C$24</definedName>
    <definedName name="_53h_E27">'Литовский б-р д.30'!$C$25</definedName>
    <definedName name="_53h_E28">'Литовский б-р д.30'!$C$26</definedName>
    <definedName name="_53h_E29">'Литовский б-р д.30'!$C$27</definedName>
    <definedName name="_53h_E30">'Литовский б-р д.30'!$C$28</definedName>
    <definedName name="_53h_E31">'Литовский б-р д.30'!$C$29</definedName>
    <definedName name="_53h_E32">'Литовский б-р д.30'!$C$30</definedName>
    <definedName name="_53h_E33">'Литовский б-р д.30'!$C$31</definedName>
    <definedName name="_53h_E34">'Литовский б-р д.30'!$C$32</definedName>
    <definedName name="_53h_E35">'Литовский б-р д.30'!$C$33</definedName>
    <definedName name="_53h_E36">'Литовский б-р д.30'!$C$34</definedName>
    <definedName name="_53h_E37">'Литовский б-р д.30'!$C$35</definedName>
    <definedName name="_53h_E38">'Литовский б-р д.30'!$C$36</definedName>
    <definedName name="_53h_E39">'Литовский б-р д.30'!$C$37</definedName>
    <definedName name="_53h_E40">'Литовский б-р д.30'!$C$38</definedName>
    <definedName name="_53h_E41">'Литовский б-р д.30'!$C$39</definedName>
    <definedName name="_53h_E42">'Литовский б-р д.30'!$C$40</definedName>
    <definedName name="_53h_E43">'Литовский б-р д.30'!$C$41</definedName>
    <definedName name="_53h_E44">'Литовский б-р д.30'!$C$42</definedName>
    <definedName name="_53h_E45">'Литовский б-р д.30'!$C$43</definedName>
    <definedName name="_53h_E46">'Литовский б-р д.30'!$C$44</definedName>
    <definedName name="_53h_E47">'Литовский б-р д.30'!$C$45</definedName>
    <definedName name="_53h_E48">'Литовский б-р д.30'!$C$46</definedName>
    <definedName name="_53h_E49">'Литовский б-р д.30'!$C$47</definedName>
    <definedName name="_53h_E50">'Литовский б-р д.30'!$C$48</definedName>
    <definedName name="_53h_E51">'Литовский б-р д.30'!$C$49</definedName>
    <definedName name="_53h_E52">'Литовский б-р д.30'!#REF!</definedName>
    <definedName name="_53h_E53">'Литовский б-р д.30'!$C$50</definedName>
    <definedName name="_53h_E54">'Литовский б-р д.30'!$C$51</definedName>
    <definedName name="_53h_E55">'Литовский б-р д.30'!$C$52</definedName>
    <definedName name="_53h_E56">'Литовский б-р д.30'!$C$53</definedName>
    <definedName name="_53h_E57">'Литовский б-р д.30'!$C$54</definedName>
    <definedName name="_53h_E58">'Литовский б-р д.30'!$C$55</definedName>
    <definedName name="_53h_E59">'Литовский б-р д.30'!$C$56</definedName>
    <definedName name="_53h_E60">'Литовский б-р д.30'!$C$57</definedName>
    <definedName name="_53h_E61">'Литовский б-р д.30'!$C$58</definedName>
    <definedName name="_53h_E62">'Литовский б-р д.30'!$C$59</definedName>
    <definedName name="_53h_E63">'Литовский б-р д.30'!#REF!</definedName>
    <definedName name="_53h_E64">'Литовский б-р д.30'!$C$60</definedName>
    <definedName name="_53h_E65">'Литовский б-р д.30'!$C$61</definedName>
    <definedName name="_53h_E7">'Литовский б-р д.30'!$C$5</definedName>
    <definedName name="_53h_E8">'Литовский б-р д.30'!$C$6</definedName>
    <definedName name="_53h_E9">'Литовский б-р д.30'!$C$7</definedName>
    <definedName name="_53h_F10">'Литовский б-р д.30'!$D$8</definedName>
    <definedName name="_53h_F11">'Литовский б-р д.30'!$D$9</definedName>
    <definedName name="_53h_F12">'Литовский б-р д.30'!$D$10</definedName>
    <definedName name="_53h_F13">'Литовский б-р д.30'!$D$11</definedName>
    <definedName name="_53h_F14">'Литовский б-р д.30'!$D$12</definedName>
    <definedName name="_53h_F15">'Литовский б-р д.30'!$D$13</definedName>
    <definedName name="_53h_F16">'Литовский б-р д.30'!$D$14</definedName>
    <definedName name="_53h_F17">'Литовский б-р д.30'!$D$15</definedName>
    <definedName name="_53h_F18">'Литовский б-р д.30'!$D$16</definedName>
    <definedName name="_53h_F19">'Литовский б-р д.30'!$D$17</definedName>
    <definedName name="_53h_F20">'Литовский б-р д.30'!$D$18</definedName>
    <definedName name="_53h_F21">'Литовский б-р д.30'!$D$19</definedName>
    <definedName name="_53h_F22">'Литовский б-р д.30'!$D$20</definedName>
    <definedName name="_53h_F23">'Литовский б-р д.30'!$D$21</definedName>
    <definedName name="_53h_F24">'Литовский б-р д.30'!$D$22</definedName>
    <definedName name="_53h_F25">'Литовский б-р д.30'!$D$23</definedName>
    <definedName name="_53h_F26">'Литовский б-р д.30'!$D$24</definedName>
    <definedName name="_53h_F27">'Литовский б-р д.30'!$D$25</definedName>
    <definedName name="_53h_F28">'Литовский б-р д.30'!$D$26</definedName>
    <definedName name="_53h_F29">'Литовский б-р д.30'!$D$27</definedName>
    <definedName name="_53h_F30">'Литовский б-р д.30'!$D$28</definedName>
    <definedName name="_53h_F31">'Литовский б-р д.30'!$D$29</definedName>
    <definedName name="_53h_F32">'Литовский б-р д.30'!$D$30</definedName>
    <definedName name="_53h_F33">'Литовский б-р д.30'!$D$31</definedName>
    <definedName name="_53h_F34">'Литовский б-р д.30'!$D$32</definedName>
    <definedName name="_53h_F35">'Литовский б-р д.30'!$D$33</definedName>
    <definedName name="_53h_F36">'Литовский б-р д.30'!$D$34</definedName>
    <definedName name="_53h_F37">'Литовский б-р д.30'!$D$35</definedName>
    <definedName name="_53h_F38">'Литовский б-р д.30'!$D$36</definedName>
    <definedName name="_53h_F39">'Литовский б-р д.30'!$D$37</definedName>
    <definedName name="_53h_F40">'Литовский б-р д.30'!$D$38</definedName>
    <definedName name="_53h_F41">'Литовский б-р д.30'!$D$39</definedName>
    <definedName name="_53h_F42">'Литовский б-р д.30'!$D$40</definedName>
    <definedName name="_53h_F43">'Литовский б-р д.30'!$D$41</definedName>
    <definedName name="_53h_F44">'Литовский б-р д.30'!$D$42</definedName>
    <definedName name="_53h_F45">'Литовский б-р д.30'!$D$43</definedName>
    <definedName name="_53h_F46">'Литовский б-р д.30'!$D$44</definedName>
    <definedName name="_53h_F47">'Литовский б-р д.30'!$D$45</definedName>
    <definedName name="_53h_F48">'Литовский б-р д.30'!$D$46</definedName>
    <definedName name="_53h_F49">'Литовский б-р д.30'!$D$47</definedName>
    <definedName name="_53h_F50">'Литовский б-р д.30'!$D$48</definedName>
    <definedName name="_53h_F51">'Литовский б-р д.30'!$D$49</definedName>
    <definedName name="_53h_F52">'Литовский б-р д.30'!#REF!</definedName>
    <definedName name="_53h_F53">'Литовский б-р д.30'!$D$50</definedName>
    <definedName name="_53h_F54">'Литовский б-р д.30'!$D$51</definedName>
    <definedName name="_53h_F55">'Литовский б-р д.30'!$D$52</definedName>
    <definedName name="_53h_F56">'Литовский б-р д.30'!$D$53</definedName>
    <definedName name="_53h_F57">'Литовский б-р д.30'!$D$54</definedName>
    <definedName name="_53h_F58">'Литовский б-р д.30'!$D$55</definedName>
    <definedName name="_53h_F59">'Литовский б-р д.30'!$D$56</definedName>
    <definedName name="_53h_F60">'Литовский б-р д.30'!$D$57</definedName>
    <definedName name="_53h_F61">'Литовский б-р д.30'!$D$58</definedName>
    <definedName name="_53h_F62">'Литовский б-р д.30'!$D$59</definedName>
    <definedName name="_53h_F63">'Литовский б-р д.30'!#REF!</definedName>
    <definedName name="_53h_F64">'Литовский б-р д.30'!$D$60</definedName>
    <definedName name="_53h_F65">'Литовский б-р д.30'!$D$61</definedName>
    <definedName name="_53h_F7">'Литовский б-р д.30'!$D$5</definedName>
    <definedName name="_53h_F8">'Литовский б-р д.30'!$D$6</definedName>
    <definedName name="_53h_F9">'Литовский б-р д.30'!$D$7</definedName>
    <definedName name="_54h_E10">'Литовс~ д.34 к.  стр.ЖСК Родник'!$C$8</definedName>
    <definedName name="_54h_E11">'Литовс~ д.34 к.  стр.ЖСК Родник'!$C$9</definedName>
    <definedName name="_54h_E12">'Литовс~ д.34 к.  стр.ЖСК Родник'!$C$10</definedName>
    <definedName name="_54h_E13">'Литовс~ д.34 к.  стр.ЖСК Родник'!$C$11</definedName>
    <definedName name="_54h_E14">'Литовс~ д.34 к.  стр.ЖСК Родник'!$C$12</definedName>
    <definedName name="_54h_E15">'Литовс~ д.34 к.  стр.ЖСК Родник'!$C$13</definedName>
    <definedName name="_54h_E16">'Литовс~ д.34 к.  стр.ЖСК Родник'!$C$14</definedName>
    <definedName name="_54h_E17">'Литовс~ д.34 к.  стр.ЖСК Родник'!$C$15</definedName>
    <definedName name="_54h_E18">'Литовс~ д.34 к.  стр.ЖСК Родник'!$C$16</definedName>
    <definedName name="_54h_E19">'Литовс~ д.34 к.  стр.ЖСК Родник'!$C$17</definedName>
    <definedName name="_54h_E20">'Литовс~ д.34 к.  стр.ЖСК Родник'!$C$18</definedName>
    <definedName name="_54h_E21">'Литовс~ д.34 к.  стр.ЖСК Родник'!$C$19</definedName>
    <definedName name="_54h_E22">'Литовс~ д.34 к.  стр.ЖСК Родник'!$C$20</definedName>
    <definedName name="_54h_E23">'Литовс~ д.34 к.  стр.ЖСК Родник'!$C$21</definedName>
    <definedName name="_54h_E24">'Литовс~ д.34 к.  стр.ЖСК Родник'!$C$22</definedName>
    <definedName name="_54h_E25">'Литовс~ д.34 к.  стр.ЖСК Родник'!$C$23</definedName>
    <definedName name="_54h_E26">'Литовс~ д.34 к.  стр.ЖСК Родник'!$C$24</definedName>
    <definedName name="_54h_E27">'Литовс~ д.34 к.  стр.ЖСК Родник'!$C$25</definedName>
    <definedName name="_54h_E28">'Литовс~ д.34 к.  стр.ЖСК Родник'!$C$26</definedName>
    <definedName name="_54h_E29">'Литовс~ д.34 к.  стр.ЖСК Родник'!$C$27</definedName>
    <definedName name="_54h_E30">'Литовс~ д.34 к.  стр.ЖСК Родник'!$C$28</definedName>
    <definedName name="_54h_E31">'Литовс~ д.34 к.  стр.ЖСК Родник'!$C$29</definedName>
    <definedName name="_54h_E32">'Литовс~ д.34 к.  стр.ЖСК Родник'!$C$30</definedName>
    <definedName name="_54h_E33">'Литовс~ д.34 к.  стр.ЖСК Родник'!$C$31</definedName>
    <definedName name="_54h_E34">'Литовс~ д.34 к.  стр.ЖСК Родник'!$C$32</definedName>
    <definedName name="_54h_E35">'Литовс~ д.34 к.  стр.ЖСК Родник'!$C$33</definedName>
    <definedName name="_54h_E36">'Литовс~ д.34 к.  стр.ЖСК Родник'!$C$34</definedName>
    <definedName name="_54h_E37">'Литовс~ д.34 к.  стр.ЖСК Родник'!$C$35</definedName>
    <definedName name="_54h_E38">'Литовс~ д.34 к.  стр.ЖСК Родник'!$C$36</definedName>
    <definedName name="_54h_E39">'Литовс~ д.34 к.  стр.ЖСК Родник'!$C$37</definedName>
    <definedName name="_54h_E40">'Литовс~ д.34 к.  стр.ЖСК Родник'!$C$38</definedName>
    <definedName name="_54h_E41">'Литовс~ д.34 к.  стр.ЖСК Родник'!$C$39</definedName>
    <definedName name="_54h_E42">'Литовс~ д.34 к.  стр.ЖСК Родник'!$C$40</definedName>
    <definedName name="_54h_E43">'Литовс~ д.34 к.  стр.ЖСК Родник'!$C$41</definedName>
    <definedName name="_54h_E44">'Литовс~ д.34 к.  стр.ЖСК Родник'!$C$42</definedName>
    <definedName name="_54h_E45">'Литовс~ д.34 к.  стр.ЖСК Родник'!$C$43</definedName>
    <definedName name="_54h_E46">'Литовс~ д.34 к.  стр.ЖСК Родник'!$C$44</definedName>
    <definedName name="_54h_E47">'Литовс~ д.34 к.  стр.ЖСК Родник'!$C$45</definedName>
    <definedName name="_54h_E48">'Литовс~ д.34 к.  стр.ЖСК Родник'!$C$46</definedName>
    <definedName name="_54h_E49">'Литовс~ д.34 к.  стр.ЖСК Родник'!$C$47</definedName>
    <definedName name="_54h_E50">'Литовс~ д.34 к.  стр.ЖСК Родник'!$C$48</definedName>
    <definedName name="_54h_E51">'Литовс~ д.34 к.  стр.ЖСК Родник'!$C$49</definedName>
    <definedName name="_54h_E52">'Литовс~ д.34 к.  стр.ЖСК Родник'!#REF!</definedName>
    <definedName name="_54h_E53">'Литовс~ д.34 к.  стр.ЖСК Родник'!$C$50</definedName>
    <definedName name="_54h_E54">'Литовс~ д.34 к.  стр.ЖСК Родник'!$C$51</definedName>
    <definedName name="_54h_E55">'Литовс~ д.34 к.  стр.ЖСК Родник'!$C$52</definedName>
    <definedName name="_54h_E56">'Литовс~ д.34 к.  стр.ЖСК Родник'!$C$53</definedName>
    <definedName name="_54h_E57">'Литовс~ д.34 к.  стр.ЖСК Родник'!$C$54</definedName>
    <definedName name="_54h_E58">'Литовс~ д.34 к.  стр.ЖСК Родник'!$C$55</definedName>
    <definedName name="_54h_E59">'Литовс~ д.34 к.  стр.ЖСК Родник'!$C$56</definedName>
    <definedName name="_54h_E60">'Литовс~ д.34 к.  стр.ЖСК Родник'!$C$57</definedName>
    <definedName name="_54h_E61">'Литовс~ д.34 к.  стр.ЖСК Родник'!$C$58</definedName>
    <definedName name="_54h_E62">'Литовс~ д.34 к.  стр.ЖСК Родник'!$C$59</definedName>
    <definedName name="_54h_E63">'Литовс~ д.34 к.  стр.ЖСК Родник'!#REF!</definedName>
    <definedName name="_54h_E64">'Литовс~ д.34 к.  стр.ЖСК Родник'!$C$60</definedName>
    <definedName name="_54h_E65">'Литовс~ д.34 к.  стр.ЖСК Родник'!$C$61</definedName>
    <definedName name="_54h_E7">'Литовс~ д.34 к.  стр.ЖСК Родник'!$C$5</definedName>
    <definedName name="_54h_E8">'Литовс~ д.34 к.  стр.ЖСК Родник'!$C$6</definedName>
    <definedName name="_54h_E9">'Литовс~ д.34 к.  стр.ЖСК Родник'!$C$7</definedName>
    <definedName name="_54h_F10">'Литовс~ д.34 к.  стр.ЖСК Родник'!$D$8</definedName>
    <definedName name="_54h_F11">'Литовс~ д.34 к.  стр.ЖСК Родник'!$D$9</definedName>
    <definedName name="_54h_F12">'Литовс~ д.34 к.  стр.ЖСК Родник'!$D$10</definedName>
    <definedName name="_54h_F13">'Литовс~ д.34 к.  стр.ЖСК Родник'!$D$11</definedName>
    <definedName name="_54h_F14">'Литовс~ д.34 к.  стр.ЖСК Родник'!$D$12</definedName>
    <definedName name="_54h_F15">'Литовс~ д.34 к.  стр.ЖСК Родник'!$D$13</definedName>
    <definedName name="_54h_F16">'Литовс~ д.34 к.  стр.ЖСК Родник'!$D$14</definedName>
    <definedName name="_54h_F17">'Литовс~ д.34 к.  стр.ЖСК Родник'!$D$15</definedName>
    <definedName name="_54h_F18">'Литовс~ д.34 к.  стр.ЖСК Родник'!$D$16</definedName>
    <definedName name="_54h_F19">'Литовс~ д.34 к.  стр.ЖСК Родник'!$D$17</definedName>
    <definedName name="_54h_F20">'Литовс~ д.34 к.  стр.ЖСК Родник'!$D$18</definedName>
    <definedName name="_54h_F21">'Литовс~ д.34 к.  стр.ЖСК Родник'!$D$19</definedName>
    <definedName name="_54h_F22">'Литовс~ д.34 к.  стр.ЖСК Родник'!$D$20</definedName>
    <definedName name="_54h_F23">'Литовс~ д.34 к.  стр.ЖСК Родник'!$D$21</definedName>
    <definedName name="_54h_F24">'Литовс~ д.34 к.  стр.ЖСК Родник'!$D$22</definedName>
    <definedName name="_54h_F25">'Литовс~ д.34 к.  стр.ЖСК Родник'!$D$23</definedName>
    <definedName name="_54h_F26">'Литовс~ д.34 к.  стр.ЖСК Родник'!$D$24</definedName>
    <definedName name="_54h_F27">'Литовс~ д.34 к.  стр.ЖСК Родник'!$D$25</definedName>
    <definedName name="_54h_F28">'Литовс~ д.34 к.  стр.ЖСК Родник'!$D$26</definedName>
    <definedName name="_54h_F29">'Литовс~ д.34 к.  стр.ЖСК Родник'!$D$27</definedName>
    <definedName name="_54h_F30">'Литовс~ д.34 к.  стр.ЖСК Родник'!$D$28</definedName>
    <definedName name="_54h_F31">'Литовс~ д.34 к.  стр.ЖСК Родник'!$D$29</definedName>
    <definedName name="_54h_F32">'Литовс~ д.34 к.  стр.ЖСК Родник'!$D$30</definedName>
    <definedName name="_54h_F33">'Литовс~ д.34 к.  стр.ЖСК Родник'!$D$31</definedName>
    <definedName name="_54h_F34">'Литовс~ д.34 к.  стр.ЖСК Родник'!$D$32</definedName>
    <definedName name="_54h_F35">'Литовс~ д.34 к.  стр.ЖСК Родник'!$D$33</definedName>
    <definedName name="_54h_F36">'Литовс~ д.34 к.  стр.ЖСК Родник'!$D$34</definedName>
    <definedName name="_54h_F37">'Литовс~ д.34 к.  стр.ЖСК Родник'!$D$35</definedName>
    <definedName name="_54h_F38">'Литовс~ д.34 к.  стр.ЖСК Родник'!$D$36</definedName>
    <definedName name="_54h_F39">'Литовс~ д.34 к.  стр.ЖСК Родник'!$D$37</definedName>
    <definedName name="_54h_F40">'Литовс~ д.34 к.  стр.ЖСК Родник'!$D$38</definedName>
    <definedName name="_54h_F41">'Литовс~ д.34 к.  стр.ЖСК Родник'!$D$39</definedName>
    <definedName name="_54h_F42">'Литовс~ д.34 к.  стр.ЖСК Родник'!$D$40</definedName>
    <definedName name="_54h_F43">'Литовс~ д.34 к.  стр.ЖСК Родник'!$D$41</definedName>
    <definedName name="_54h_F44">'Литовс~ д.34 к.  стр.ЖСК Родник'!$D$42</definedName>
    <definedName name="_54h_F45">'Литовс~ д.34 к.  стр.ЖСК Родник'!$D$43</definedName>
    <definedName name="_54h_F46">'Литовс~ д.34 к.  стр.ЖСК Родник'!$D$44</definedName>
    <definedName name="_54h_F47">'Литовс~ д.34 к.  стр.ЖСК Родник'!$D$45</definedName>
    <definedName name="_54h_F48">'Литовс~ д.34 к.  стр.ЖСК Родник'!$D$46</definedName>
    <definedName name="_54h_F49">'Литовс~ д.34 к.  стр.ЖСК Родник'!$D$47</definedName>
    <definedName name="_54h_F50">'Литовс~ д.34 к.  стр.ЖСК Родник'!$D$48</definedName>
    <definedName name="_54h_F51">'Литовс~ д.34 к.  стр.ЖСК Родник'!$D$49</definedName>
    <definedName name="_54h_F52">'Литовс~ д.34 к.  стр.ЖСК Родник'!#REF!</definedName>
    <definedName name="_54h_F53">'Литовс~ д.34 к.  стр.ЖСК Родник'!$D$50</definedName>
    <definedName name="_54h_F54">'Литовс~ д.34 к.  стр.ЖСК Родник'!$D$51</definedName>
    <definedName name="_54h_F55">'Литовс~ д.34 к.  стр.ЖСК Родник'!$D$52</definedName>
    <definedName name="_54h_F56">'Литовс~ д.34 к.  стр.ЖСК Родник'!$D$53</definedName>
    <definedName name="_54h_F57">'Литовс~ д.34 к.  стр.ЖСК Родник'!$D$54</definedName>
    <definedName name="_54h_F58">'Литовс~ д.34 к.  стр.ЖСК Родник'!$D$55</definedName>
    <definedName name="_54h_F59">'Литовс~ д.34 к.  стр.ЖСК Родник'!$D$56</definedName>
    <definedName name="_54h_F60">'Литовс~ д.34 к.  стр.ЖСК Родник'!$D$57</definedName>
    <definedName name="_54h_F61">'Литовс~ д.34 к.  стр.ЖСК Родник'!$D$58</definedName>
    <definedName name="_54h_F62">'Литовс~ д.34 к.  стр.ЖСК Родник'!$D$59</definedName>
    <definedName name="_54h_F63">'Литовс~ д.34 к.  стр.ЖСК Родник'!#REF!</definedName>
    <definedName name="_54h_F64">'Литовс~ д.34 к.  стр.ЖСК Родник'!$D$60</definedName>
    <definedName name="_54h_F65">'Литовс~ д.34 к.  стр.ЖСК Родник'!$D$61</definedName>
    <definedName name="_54h_F7">'Литовс~ д.34 к.  стр.ЖСК Родник'!$D$5</definedName>
    <definedName name="_54h_F8">'Литовс~ д.34 к.  стр.ЖСК Родник'!$D$6</definedName>
    <definedName name="_54h_F9">'Литовс~ д.34 к.  стр.ЖСК Родник'!$D$7</definedName>
    <definedName name="_55h_E10">'Литовский б-р д.42 к.1'!$C$8</definedName>
    <definedName name="_55h_E11">'Литовский б-р д.42 к.1'!$C$9</definedName>
    <definedName name="_55h_E12">'Литовский б-р д.42 к.1'!$C$10</definedName>
    <definedName name="_55h_E13">'Литовский б-р д.42 к.1'!$C$11</definedName>
    <definedName name="_55h_E14">'Литовский б-р д.42 к.1'!$C$12</definedName>
    <definedName name="_55h_E15">'Литовский б-р д.42 к.1'!$C$13</definedName>
    <definedName name="_55h_E16">'Литовский б-р д.42 к.1'!$C$14</definedName>
    <definedName name="_55h_E17">'Литовский б-р д.42 к.1'!$C$15</definedName>
    <definedName name="_55h_E18">'Литовский б-р д.42 к.1'!$C$16</definedName>
    <definedName name="_55h_E19">'Литовский б-р д.42 к.1'!$C$17</definedName>
    <definedName name="_55h_E20">'Литовский б-р д.42 к.1'!$C$18</definedName>
    <definedName name="_55h_E21">'Литовский б-р д.42 к.1'!$C$19</definedName>
    <definedName name="_55h_E22">'Литовский б-р д.42 к.1'!$C$20</definedName>
    <definedName name="_55h_E23">'Литовский б-р д.42 к.1'!$C$21</definedName>
    <definedName name="_55h_E24">'Литовский б-р д.42 к.1'!$C$22</definedName>
    <definedName name="_55h_E25">'Литовский б-р д.42 к.1'!$C$23</definedName>
    <definedName name="_55h_E26">'Литовский б-р д.42 к.1'!$C$24</definedName>
    <definedName name="_55h_E27">'Литовский б-р д.42 к.1'!$C$25</definedName>
    <definedName name="_55h_E28">'Литовский б-р д.42 к.1'!$C$26</definedName>
    <definedName name="_55h_E29">'Литовский б-р д.42 к.1'!$C$27</definedName>
    <definedName name="_55h_E30">'Литовский б-р д.42 к.1'!$C$28</definedName>
    <definedName name="_55h_E31">'Литовский б-р д.42 к.1'!$C$29</definedName>
    <definedName name="_55h_E32">'Литовский б-р д.42 к.1'!$C$30</definedName>
    <definedName name="_55h_E33">'Литовский б-р д.42 к.1'!$C$31</definedName>
    <definedName name="_55h_E34">'Литовский б-р д.42 к.1'!$C$32</definedName>
    <definedName name="_55h_E35">'Литовский б-р д.42 к.1'!$C$33</definedName>
    <definedName name="_55h_E36">'Литовский б-р д.42 к.1'!$C$34</definedName>
    <definedName name="_55h_E37">'Литовский б-р д.42 к.1'!$C$35</definedName>
    <definedName name="_55h_E38">'Литовский б-р д.42 к.1'!$C$36</definedName>
    <definedName name="_55h_E39">'Литовский б-р д.42 к.1'!$C$37</definedName>
    <definedName name="_55h_E40">'Литовский б-р д.42 к.1'!$C$38</definedName>
    <definedName name="_55h_E41">'Литовский б-р д.42 к.1'!$C$39</definedName>
    <definedName name="_55h_E42">'Литовский б-р д.42 к.1'!$C$40</definedName>
    <definedName name="_55h_E43">'Литовский б-р д.42 к.1'!$C$41</definedName>
    <definedName name="_55h_E44">'Литовский б-р д.42 к.1'!$C$42</definedName>
    <definedName name="_55h_E45">'Литовский б-р д.42 к.1'!$C$43</definedName>
    <definedName name="_55h_E46">'Литовский б-р д.42 к.1'!$C$44</definedName>
    <definedName name="_55h_E47">'Литовский б-р д.42 к.1'!$C$45</definedName>
    <definedName name="_55h_E48">'Литовский б-р д.42 к.1'!$C$46</definedName>
    <definedName name="_55h_E49">'Литовский б-р д.42 к.1'!$C$47</definedName>
    <definedName name="_55h_E50">'Литовский б-р д.42 к.1'!$C$48</definedName>
    <definedName name="_55h_E51">'Литовский б-р д.42 к.1'!$C$49</definedName>
    <definedName name="_55h_E52">'Литовский б-р д.42 к.1'!#REF!</definedName>
    <definedName name="_55h_E53">'Литовский б-р д.42 к.1'!$C$50</definedName>
    <definedName name="_55h_E54">'Литовский б-р д.42 к.1'!$C$51</definedName>
    <definedName name="_55h_E55">'Литовский б-р д.42 к.1'!$C$52</definedName>
    <definedName name="_55h_E56">'Литовский б-р д.42 к.1'!$C$53</definedName>
    <definedName name="_55h_E57">'Литовский б-р д.42 к.1'!$C$54</definedName>
    <definedName name="_55h_E58">'Литовский б-р д.42 к.1'!$C$55</definedName>
    <definedName name="_55h_E59">'Литовский б-р д.42 к.1'!$C$56</definedName>
    <definedName name="_55h_E60">'Литовский б-р д.42 к.1'!$C$57</definedName>
    <definedName name="_55h_E61">'Литовский б-р д.42 к.1'!$C$58</definedName>
    <definedName name="_55h_E62">'Литовский б-р д.42 к.1'!$C$59</definedName>
    <definedName name="_55h_E63">'Литовский б-р д.42 к.1'!#REF!</definedName>
    <definedName name="_55h_E64">'Литовский б-р д.42 к.1'!$C$60</definedName>
    <definedName name="_55h_E65">'Литовский б-р д.42 к.1'!$C$61</definedName>
    <definedName name="_55h_E7">'Литовский б-р д.42 к.1'!$C$5</definedName>
    <definedName name="_55h_E8">'Литовский б-р д.42 к.1'!$C$6</definedName>
    <definedName name="_55h_E9">'Литовский б-р д.42 к.1'!$C$7</definedName>
    <definedName name="_55h_F10">'Литовский б-р д.42 к.1'!$D$8</definedName>
    <definedName name="_55h_F11">'Литовский б-р д.42 к.1'!$D$9</definedName>
    <definedName name="_55h_F12">'Литовский б-р д.42 к.1'!$D$10</definedName>
    <definedName name="_55h_F13">'Литовский б-р д.42 к.1'!$D$11</definedName>
    <definedName name="_55h_F14">'Литовский б-р д.42 к.1'!$D$12</definedName>
    <definedName name="_55h_F15">'Литовский б-р д.42 к.1'!$D$13</definedName>
    <definedName name="_55h_F16">'Литовский б-р д.42 к.1'!$D$14</definedName>
    <definedName name="_55h_F17">'Литовский б-р д.42 к.1'!$D$15</definedName>
    <definedName name="_55h_F18">'Литовский б-р д.42 к.1'!$D$16</definedName>
    <definedName name="_55h_F19">'Литовский б-р д.42 к.1'!$D$17</definedName>
    <definedName name="_55h_F20">'Литовский б-р д.42 к.1'!$D$18</definedName>
    <definedName name="_55h_F21">'Литовский б-р д.42 к.1'!$D$19</definedName>
    <definedName name="_55h_F22">'Литовский б-р д.42 к.1'!$D$20</definedName>
    <definedName name="_55h_F23">'Литовский б-р д.42 к.1'!$D$21</definedName>
    <definedName name="_55h_F24">'Литовский б-р д.42 к.1'!$D$22</definedName>
    <definedName name="_55h_F25">'Литовский б-р д.42 к.1'!$D$23</definedName>
    <definedName name="_55h_F26">'Литовский б-р д.42 к.1'!$D$24</definedName>
    <definedName name="_55h_F27">'Литовский б-р д.42 к.1'!$D$25</definedName>
    <definedName name="_55h_F28">'Литовский б-р д.42 к.1'!$D$26</definedName>
    <definedName name="_55h_F29">'Литовский б-р д.42 к.1'!$D$27</definedName>
    <definedName name="_55h_F30">'Литовский б-р д.42 к.1'!$D$28</definedName>
    <definedName name="_55h_F31">'Литовский б-р д.42 к.1'!$D$29</definedName>
    <definedName name="_55h_F32">'Литовский б-р д.42 к.1'!$D$30</definedName>
    <definedName name="_55h_F33">'Литовский б-р д.42 к.1'!$D$31</definedName>
    <definedName name="_55h_F34">'Литовский б-р д.42 к.1'!$D$32</definedName>
    <definedName name="_55h_F35">'Литовский б-р д.42 к.1'!$D$33</definedName>
    <definedName name="_55h_F36">'Литовский б-р д.42 к.1'!$D$34</definedName>
    <definedName name="_55h_F37">'Литовский б-р д.42 к.1'!$D$35</definedName>
    <definedName name="_55h_F38">'Литовский б-р д.42 к.1'!$D$36</definedName>
    <definedName name="_55h_F39">'Литовский б-р д.42 к.1'!$D$37</definedName>
    <definedName name="_55h_F40">'Литовский б-р д.42 к.1'!$D$38</definedName>
    <definedName name="_55h_F41">'Литовский б-р д.42 к.1'!$D$39</definedName>
    <definedName name="_55h_F42">'Литовский б-р д.42 к.1'!$D$40</definedName>
    <definedName name="_55h_F43">'Литовский б-р д.42 к.1'!$D$41</definedName>
    <definedName name="_55h_F44">'Литовский б-р д.42 к.1'!$D$42</definedName>
    <definedName name="_55h_F45">'Литовский б-р д.42 к.1'!$D$43</definedName>
    <definedName name="_55h_F46">'Литовский б-р д.42 к.1'!$D$44</definedName>
    <definedName name="_55h_F47">'Литовский б-р д.42 к.1'!$D$45</definedName>
    <definedName name="_55h_F48">'Литовский б-р д.42 к.1'!$D$46</definedName>
    <definedName name="_55h_F49">'Литовский б-р д.42 к.1'!$D$47</definedName>
    <definedName name="_55h_F50">'Литовский б-р д.42 к.1'!$D$48</definedName>
    <definedName name="_55h_F51">'Литовский б-р д.42 к.1'!$D$49</definedName>
    <definedName name="_55h_F52">'Литовский б-р д.42 к.1'!#REF!</definedName>
    <definedName name="_55h_F53">'Литовский б-р д.42 к.1'!$D$50</definedName>
    <definedName name="_55h_F54">'Литовский б-р д.42 к.1'!$D$51</definedName>
    <definedName name="_55h_F55">'Литовский б-р д.42 к.1'!$D$52</definedName>
    <definedName name="_55h_F56">'Литовский б-р д.42 к.1'!$D$53</definedName>
    <definedName name="_55h_F57">'Литовский б-р д.42 к.1'!$D$54</definedName>
    <definedName name="_55h_F58">'Литовский б-р д.42 к.1'!$D$55</definedName>
    <definedName name="_55h_F59">'Литовский б-р д.42 к.1'!$D$56</definedName>
    <definedName name="_55h_F60">'Литовский б-р д.42 к.1'!$D$57</definedName>
    <definedName name="_55h_F61">'Литовский б-р д.42 к.1'!$D$58</definedName>
    <definedName name="_55h_F62">'Литовский б-р д.42 к.1'!$D$59</definedName>
    <definedName name="_55h_F63">'Литовский б-р д.42 к.1'!#REF!</definedName>
    <definedName name="_55h_F64">'Литовский б-р д.42 к.1'!$D$60</definedName>
    <definedName name="_55h_F65">'Литовский б-р д.42 к.1'!$D$61</definedName>
    <definedName name="_55h_F7">'Литовский б-р д.42 к.1'!$D$5</definedName>
    <definedName name="_55h_F8">'Литовский б-р д.42 к.1'!$D$6</definedName>
    <definedName name="_55h_F9">'Литовский б-р д.42 к.1'!$D$7</definedName>
    <definedName name="_56h_E10">'Литовский б-р д.46 к.1'!$C$8</definedName>
    <definedName name="_56h_E11">'Литовский б-р д.46 к.1'!$C$9</definedName>
    <definedName name="_56h_E12">'Литовский б-р д.46 к.1'!$C$10</definedName>
    <definedName name="_56h_E13">'Литовский б-р д.46 к.1'!$C$11</definedName>
    <definedName name="_56h_E14">'Литовский б-р д.46 к.1'!$C$12</definedName>
    <definedName name="_56h_E15">'Литовский б-р д.46 к.1'!$C$13</definedName>
    <definedName name="_56h_E16">'Литовский б-р д.46 к.1'!$C$14</definedName>
    <definedName name="_56h_E17">'Литовский б-р д.46 к.1'!$C$15</definedName>
    <definedName name="_56h_E18">'Литовский б-р д.46 к.1'!$C$16</definedName>
    <definedName name="_56h_E19">'Литовский б-р д.46 к.1'!$C$17</definedName>
    <definedName name="_56h_E20">'Литовский б-р д.46 к.1'!$C$18</definedName>
    <definedName name="_56h_E21">'Литовский б-р д.46 к.1'!$C$19</definedName>
    <definedName name="_56h_E22">'Литовский б-р д.46 к.1'!$C$20</definedName>
    <definedName name="_56h_E23">'Литовский б-р д.46 к.1'!$C$21</definedName>
    <definedName name="_56h_E24">'Литовский б-р д.46 к.1'!$C$22</definedName>
    <definedName name="_56h_E25">'Литовский б-р д.46 к.1'!$C$23</definedName>
    <definedName name="_56h_E26">'Литовский б-р д.46 к.1'!$C$24</definedName>
    <definedName name="_56h_E27">'Литовский б-р д.46 к.1'!$C$25</definedName>
    <definedName name="_56h_E28">'Литовский б-р д.46 к.1'!$C$26</definedName>
    <definedName name="_56h_E29">'Литовский б-р д.46 к.1'!$C$27</definedName>
    <definedName name="_56h_E30">'Литовский б-р д.46 к.1'!$C$28</definedName>
    <definedName name="_56h_E31">'Литовский б-р д.46 к.1'!$C$29</definedName>
    <definedName name="_56h_E32">'Литовский б-р д.46 к.1'!$C$30</definedName>
    <definedName name="_56h_E33">'Литовский б-р д.46 к.1'!$C$31</definedName>
    <definedName name="_56h_E34">'Литовский б-р д.46 к.1'!$C$32</definedName>
    <definedName name="_56h_E35">'Литовский б-р д.46 к.1'!$C$33</definedName>
    <definedName name="_56h_E36">'Литовский б-р д.46 к.1'!$C$34</definedName>
    <definedName name="_56h_E37">'Литовский б-р д.46 к.1'!$C$35</definedName>
    <definedName name="_56h_E38">'Литовский б-р д.46 к.1'!$C$36</definedName>
    <definedName name="_56h_E39">'Литовский б-р д.46 к.1'!$C$37</definedName>
    <definedName name="_56h_E40">'Литовский б-р д.46 к.1'!$C$38</definedName>
    <definedName name="_56h_E41">'Литовский б-р д.46 к.1'!$C$39</definedName>
    <definedName name="_56h_E42">'Литовский б-р д.46 к.1'!$C$40</definedName>
    <definedName name="_56h_E43">'Литовский б-р д.46 к.1'!$C$41</definedName>
    <definedName name="_56h_E44">'Литовский б-р д.46 к.1'!$C$42</definedName>
    <definedName name="_56h_E45">'Литовский б-р д.46 к.1'!$C$43</definedName>
    <definedName name="_56h_E46">'Литовский б-р д.46 к.1'!$C$44</definedName>
    <definedName name="_56h_E47">'Литовский б-р д.46 к.1'!$C$45</definedName>
    <definedName name="_56h_E48">'Литовский б-р д.46 к.1'!$C$46</definedName>
    <definedName name="_56h_E49">'Литовский б-р д.46 к.1'!$C$47</definedName>
    <definedName name="_56h_E50">'Литовский б-р д.46 к.1'!$C$48</definedName>
    <definedName name="_56h_E51">'Литовский б-р д.46 к.1'!$C$49</definedName>
    <definedName name="_56h_E52">'Литовский б-р д.46 к.1'!#REF!</definedName>
    <definedName name="_56h_E53">'Литовский б-р д.46 к.1'!$C$50</definedName>
    <definedName name="_56h_E54">'Литовский б-р д.46 к.1'!$C$51</definedName>
    <definedName name="_56h_E55">'Литовский б-р д.46 к.1'!$C$52</definedName>
    <definedName name="_56h_E56">'Литовский б-р д.46 к.1'!$C$53</definedName>
    <definedName name="_56h_E57">'Литовский б-р д.46 к.1'!$C$54</definedName>
    <definedName name="_56h_E58">'Литовский б-р д.46 к.1'!$C$55</definedName>
    <definedName name="_56h_E59">'Литовский б-р д.46 к.1'!$C$56</definedName>
    <definedName name="_56h_E60">'Литовский б-р д.46 к.1'!$C$57</definedName>
    <definedName name="_56h_E61">'Литовский б-р д.46 к.1'!$C$58</definedName>
    <definedName name="_56h_E62">'Литовский б-р д.46 к.1'!$C$59</definedName>
    <definedName name="_56h_E63">'Литовский б-р д.46 к.1'!#REF!</definedName>
    <definedName name="_56h_E64">'Литовский б-р д.46 к.1'!$C$60</definedName>
    <definedName name="_56h_E65">'Литовский б-р д.46 к.1'!$C$61</definedName>
    <definedName name="_56h_E7">'Литовский б-р д.46 к.1'!$C$5</definedName>
    <definedName name="_56h_E8">'Литовский б-р д.46 к.1'!$C$6</definedName>
    <definedName name="_56h_E9">'Литовский б-р д.46 к.1'!$C$7</definedName>
    <definedName name="_56h_F10">'Литовский б-р д.46 к.1'!$D$8</definedName>
    <definedName name="_56h_F11">'Литовский б-р д.46 к.1'!$D$9</definedName>
    <definedName name="_56h_F12">'Литовский б-р д.46 к.1'!$D$10</definedName>
    <definedName name="_56h_F13">'Литовский б-р д.46 к.1'!$D$11</definedName>
    <definedName name="_56h_F14">'Литовский б-р д.46 к.1'!$D$12</definedName>
    <definedName name="_56h_F15">'Литовский б-р д.46 к.1'!$D$13</definedName>
    <definedName name="_56h_F16">'Литовский б-р д.46 к.1'!$D$14</definedName>
    <definedName name="_56h_F17">'Литовский б-р д.46 к.1'!$D$15</definedName>
    <definedName name="_56h_F18">'Литовский б-р д.46 к.1'!$D$16</definedName>
    <definedName name="_56h_F19">'Литовский б-р д.46 к.1'!$D$17</definedName>
    <definedName name="_56h_F20">'Литовский б-р д.46 к.1'!$D$18</definedName>
    <definedName name="_56h_F21">'Литовский б-р д.46 к.1'!$D$19</definedName>
    <definedName name="_56h_F22">'Литовский б-р д.46 к.1'!$D$20</definedName>
    <definedName name="_56h_F23">'Литовский б-р д.46 к.1'!$D$21</definedName>
    <definedName name="_56h_F24">'Литовский б-р д.46 к.1'!$D$22</definedName>
    <definedName name="_56h_F25">'Литовский б-р д.46 к.1'!$D$23</definedName>
    <definedName name="_56h_F26">'Литовский б-р д.46 к.1'!$D$24</definedName>
    <definedName name="_56h_F27">'Литовский б-р д.46 к.1'!$D$25</definedName>
    <definedName name="_56h_F28">'Литовский б-р д.46 к.1'!$D$26</definedName>
    <definedName name="_56h_F29">'Литовский б-р д.46 к.1'!$D$27</definedName>
    <definedName name="_56h_F30">'Литовский б-р д.46 к.1'!$D$28</definedName>
    <definedName name="_56h_F31">'Литовский б-р д.46 к.1'!$D$29</definedName>
    <definedName name="_56h_F32">'Литовский б-р д.46 к.1'!$D$30</definedName>
    <definedName name="_56h_F33">'Литовский б-р д.46 к.1'!$D$31</definedName>
    <definedName name="_56h_F34">'Литовский б-р д.46 к.1'!$D$32</definedName>
    <definedName name="_56h_F35">'Литовский б-р д.46 к.1'!$D$33</definedName>
    <definedName name="_56h_F36">'Литовский б-р д.46 к.1'!$D$34</definedName>
    <definedName name="_56h_F37">'Литовский б-р д.46 к.1'!$D$35</definedName>
    <definedName name="_56h_F38">'Литовский б-р д.46 к.1'!$D$36</definedName>
    <definedName name="_56h_F39">'Литовский б-р д.46 к.1'!$D$37</definedName>
    <definedName name="_56h_F40">'Литовский б-р д.46 к.1'!$D$38</definedName>
    <definedName name="_56h_F41">'Литовский б-р д.46 к.1'!$D$39</definedName>
    <definedName name="_56h_F42">'Литовский б-р д.46 к.1'!$D$40</definedName>
    <definedName name="_56h_F43">'Литовский б-р д.46 к.1'!$D$41</definedName>
    <definedName name="_56h_F44">'Литовский б-р д.46 к.1'!$D$42</definedName>
    <definedName name="_56h_F45">'Литовский б-р д.46 к.1'!$D$43</definedName>
    <definedName name="_56h_F46">'Литовский б-р д.46 к.1'!$D$44</definedName>
    <definedName name="_56h_F47">'Литовский б-р д.46 к.1'!$D$45</definedName>
    <definedName name="_56h_F48">'Литовский б-р д.46 к.1'!$D$46</definedName>
    <definedName name="_56h_F49">'Литовский б-р д.46 к.1'!$D$47</definedName>
    <definedName name="_56h_F50">'Литовский б-р д.46 к.1'!$D$48</definedName>
    <definedName name="_56h_F51">'Литовский б-р д.46 к.1'!$D$49</definedName>
    <definedName name="_56h_F52">'Литовский б-р д.46 к.1'!#REF!</definedName>
    <definedName name="_56h_F53">'Литовский б-р д.46 к.1'!$D$50</definedName>
    <definedName name="_56h_F54">'Литовский б-р д.46 к.1'!$D$51</definedName>
    <definedName name="_56h_F55">'Литовский б-р д.46 к.1'!$D$52</definedName>
    <definedName name="_56h_F56">'Литовский б-р д.46 к.1'!$D$53</definedName>
    <definedName name="_56h_F57">'Литовский б-р д.46 к.1'!$D$54</definedName>
    <definedName name="_56h_F58">'Литовский б-р д.46 к.1'!$D$55</definedName>
    <definedName name="_56h_F59">'Литовский б-р д.46 к.1'!$D$56</definedName>
    <definedName name="_56h_F60">'Литовский б-р д.46 к.1'!$D$57</definedName>
    <definedName name="_56h_F61">'Литовский б-р д.46 к.1'!$D$58</definedName>
    <definedName name="_56h_F62">'Литовский б-р д.46 к.1'!$D$59</definedName>
    <definedName name="_56h_F63">'Литовский б-р д.46 к.1'!#REF!</definedName>
    <definedName name="_56h_F64">'Литовский б-р д.46 к.1'!$D$60</definedName>
    <definedName name="_56h_F65">'Литовский б-р д.46 к.1'!$D$61</definedName>
    <definedName name="_56h_F7">'Литовский б-р д.46 к.1'!$D$5</definedName>
    <definedName name="_56h_F8">'Литовский б-р д.46 к.1'!$D$6</definedName>
    <definedName name="_56h_F9">'Литовский б-р д.46 к.1'!$D$7</definedName>
    <definedName name="_57h_E10">'Литовский б-р д.46 к.2'!$C$8</definedName>
    <definedName name="_57h_E11">'Литовский б-р д.46 к.2'!$C$9</definedName>
    <definedName name="_57h_E12">'Литовский б-р д.46 к.2'!$C$10</definedName>
    <definedName name="_57h_E13">'Литовский б-р д.46 к.2'!$C$11</definedName>
    <definedName name="_57h_E14">'Литовский б-р д.46 к.2'!$C$12</definedName>
    <definedName name="_57h_E15">'Литовский б-р д.46 к.2'!$C$13</definedName>
    <definedName name="_57h_E16">'Литовский б-р д.46 к.2'!$C$14</definedName>
    <definedName name="_57h_E17">'Литовский б-р д.46 к.2'!$C$15</definedName>
    <definedName name="_57h_E18">'Литовский б-р д.46 к.2'!$C$16</definedName>
    <definedName name="_57h_E19">'Литовский б-р д.46 к.2'!$C$17</definedName>
    <definedName name="_57h_E20">'Литовский б-р д.46 к.2'!$C$18</definedName>
    <definedName name="_57h_E21">'Литовский б-р д.46 к.2'!$C$19</definedName>
    <definedName name="_57h_E22">'Литовский б-р д.46 к.2'!$C$20</definedName>
    <definedName name="_57h_E23">'Литовский б-р д.46 к.2'!$C$21</definedName>
    <definedName name="_57h_E24">'Литовский б-р д.46 к.2'!$C$22</definedName>
    <definedName name="_57h_E25">'Литовский б-р д.46 к.2'!$C$23</definedName>
    <definedName name="_57h_E26">'Литовский б-р д.46 к.2'!$C$24</definedName>
    <definedName name="_57h_E27">'Литовский б-р д.46 к.2'!$C$25</definedName>
    <definedName name="_57h_E28">'Литовский б-р д.46 к.2'!$C$26</definedName>
    <definedName name="_57h_E29">'Литовский б-р д.46 к.2'!$C$27</definedName>
    <definedName name="_57h_E30">'Литовский б-р д.46 к.2'!$C$28</definedName>
    <definedName name="_57h_E31">'Литовский б-р д.46 к.2'!$C$29</definedName>
    <definedName name="_57h_E32">'Литовский б-р д.46 к.2'!$C$30</definedName>
    <definedName name="_57h_E33">'Литовский б-р д.46 к.2'!$C$31</definedName>
    <definedName name="_57h_E34">'Литовский б-р д.46 к.2'!$C$32</definedName>
    <definedName name="_57h_E35">'Литовский б-р д.46 к.2'!$C$33</definedName>
    <definedName name="_57h_E36">'Литовский б-р д.46 к.2'!$C$34</definedName>
    <definedName name="_57h_E37">'Литовский б-р д.46 к.2'!$C$35</definedName>
    <definedName name="_57h_E38">'Литовский б-р д.46 к.2'!$C$36</definedName>
    <definedName name="_57h_E39">'Литовский б-р д.46 к.2'!$C$37</definedName>
    <definedName name="_57h_E40">'Литовский б-р д.46 к.2'!$C$38</definedName>
    <definedName name="_57h_E41">'Литовский б-р д.46 к.2'!$C$39</definedName>
    <definedName name="_57h_E42">'Литовский б-р д.46 к.2'!$C$40</definedName>
    <definedName name="_57h_E43">'Литовский б-р д.46 к.2'!$C$41</definedName>
    <definedName name="_57h_E44">'Литовский б-р д.46 к.2'!$C$42</definedName>
    <definedName name="_57h_E45">'Литовский б-р д.46 к.2'!$C$43</definedName>
    <definedName name="_57h_E46">'Литовский б-р д.46 к.2'!$C$44</definedName>
    <definedName name="_57h_E47">'Литовский б-р д.46 к.2'!$C$45</definedName>
    <definedName name="_57h_E48">'Литовский б-р д.46 к.2'!$C$46</definedName>
    <definedName name="_57h_E49">'Литовский б-р д.46 к.2'!$C$47</definedName>
    <definedName name="_57h_E50">'Литовский б-р д.46 к.2'!$C$48</definedName>
    <definedName name="_57h_E51">'Литовский б-р д.46 к.2'!$C$49</definedName>
    <definedName name="_57h_E52">'Литовский б-р д.46 к.2'!#REF!</definedName>
    <definedName name="_57h_E53">'Литовский б-р д.46 к.2'!$C$50</definedName>
    <definedName name="_57h_E54">'Литовский б-р д.46 к.2'!$C$51</definedName>
    <definedName name="_57h_E55">'Литовский б-р д.46 к.2'!$C$52</definedName>
    <definedName name="_57h_E56">'Литовский б-р д.46 к.2'!$C$53</definedName>
    <definedName name="_57h_E57">'Литовский б-р д.46 к.2'!$C$54</definedName>
    <definedName name="_57h_E58">'Литовский б-р д.46 к.2'!$C$55</definedName>
    <definedName name="_57h_E59">'Литовский б-р д.46 к.2'!$C$56</definedName>
    <definedName name="_57h_E60">'Литовский б-р д.46 к.2'!$C$57</definedName>
    <definedName name="_57h_E61">'Литовский б-р д.46 к.2'!$C$58</definedName>
    <definedName name="_57h_E62">'Литовский б-р д.46 к.2'!$C$59</definedName>
    <definedName name="_57h_E63">'Литовский б-р д.46 к.2'!#REF!</definedName>
    <definedName name="_57h_E64">'Литовский б-р д.46 к.2'!$C$60</definedName>
    <definedName name="_57h_E65">'Литовский б-р д.46 к.2'!$C$61</definedName>
    <definedName name="_57h_E7">'Литовский б-р д.46 к.2'!$C$5</definedName>
    <definedName name="_57h_E8">'Литовский б-р д.46 к.2'!$C$6</definedName>
    <definedName name="_57h_E9">'Литовский б-р д.46 к.2'!$C$7</definedName>
    <definedName name="_57h_F10">'Литовский б-р д.46 к.2'!$D$8</definedName>
    <definedName name="_57h_F11">'Литовский б-р д.46 к.2'!$D$9</definedName>
    <definedName name="_57h_F12">'Литовский б-р д.46 к.2'!$D$10</definedName>
    <definedName name="_57h_F13">'Литовский б-р д.46 к.2'!$D$11</definedName>
    <definedName name="_57h_F14">'Литовский б-р д.46 к.2'!$D$12</definedName>
    <definedName name="_57h_F15">'Литовский б-р д.46 к.2'!$D$13</definedName>
    <definedName name="_57h_F16">'Литовский б-р д.46 к.2'!$D$14</definedName>
    <definedName name="_57h_F17">'Литовский б-р д.46 к.2'!$D$15</definedName>
    <definedName name="_57h_F18">'Литовский б-р д.46 к.2'!$D$16</definedName>
    <definedName name="_57h_F19">'Литовский б-р д.46 к.2'!$D$17</definedName>
    <definedName name="_57h_F20">'Литовский б-р д.46 к.2'!$D$18</definedName>
    <definedName name="_57h_F21">'Литовский б-р д.46 к.2'!$D$19</definedName>
    <definedName name="_57h_F22">'Литовский б-р д.46 к.2'!$D$20</definedName>
    <definedName name="_57h_F23">'Литовский б-р д.46 к.2'!$D$21</definedName>
    <definedName name="_57h_F24">'Литовский б-р д.46 к.2'!$D$22</definedName>
    <definedName name="_57h_F25">'Литовский б-р д.46 к.2'!$D$23</definedName>
    <definedName name="_57h_F26">'Литовский б-р д.46 к.2'!$D$24</definedName>
    <definedName name="_57h_F27">'Литовский б-р д.46 к.2'!$D$25</definedName>
    <definedName name="_57h_F28">'Литовский б-р д.46 к.2'!$D$26</definedName>
    <definedName name="_57h_F29">'Литовский б-р д.46 к.2'!$D$27</definedName>
    <definedName name="_57h_F30">'Литовский б-р д.46 к.2'!$D$28</definedName>
    <definedName name="_57h_F31">'Литовский б-р д.46 к.2'!$D$29</definedName>
    <definedName name="_57h_F32">'Литовский б-р д.46 к.2'!$D$30</definedName>
    <definedName name="_57h_F33">'Литовский б-р д.46 к.2'!$D$31</definedName>
    <definedName name="_57h_F34">'Литовский б-р д.46 к.2'!$D$32</definedName>
    <definedName name="_57h_F35">'Литовский б-р д.46 к.2'!$D$33</definedName>
    <definedName name="_57h_F36">'Литовский б-р д.46 к.2'!$D$34</definedName>
    <definedName name="_57h_F37">'Литовский б-р д.46 к.2'!$D$35</definedName>
    <definedName name="_57h_F38">'Литовский б-р д.46 к.2'!$D$36</definedName>
    <definedName name="_57h_F39">'Литовский б-р д.46 к.2'!$D$37</definedName>
    <definedName name="_57h_F40">'Литовский б-р д.46 к.2'!$D$38</definedName>
    <definedName name="_57h_F41">'Литовский б-р д.46 к.2'!$D$39</definedName>
    <definedName name="_57h_F42">'Литовский б-р д.46 к.2'!$D$40</definedName>
    <definedName name="_57h_F43">'Литовский б-р д.46 к.2'!$D$41</definedName>
    <definedName name="_57h_F44">'Литовский б-р д.46 к.2'!$D$42</definedName>
    <definedName name="_57h_F45">'Литовский б-р д.46 к.2'!$D$43</definedName>
    <definedName name="_57h_F46">'Литовский б-р д.46 к.2'!$D$44</definedName>
    <definedName name="_57h_F47">'Литовский б-р д.46 к.2'!$D$45</definedName>
    <definedName name="_57h_F48">'Литовский б-р д.46 к.2'!$D$46</definedName>
    <definedName name="_57h_F49">'Литовский б-р д.46 к.2'!$D$47</definedName>
    <definedName name="_57h_F50">'Литовский б-р д.46 к.2'!$D$48</definedName>
    <definedName name="_57h_F51">'Литовский б-р д.46 к.2'!$D$49</definedName>
    <definedName name="_57h_F52">'Литовский б-р д.46 к.2'!#REF!</definedName>
    <definedName name="_57h_F53">'Литовский б-р д.46 к.2'!$D$50</definedName>
    <definedName name="_57h_F54">'Литовский б-р д.46 к.2'!$D$51</definedName>
    <definedName name="_57h_F55">'Литовский б-р д.46 к.2'!$D$52</definedName>
    <definedName name="_57h_F56">'Литовский б-р д.46 к.2'!$D$53</definedName>
    <definedName name="_57h_F57">'Литовский б-р д.46 к.2'!$D$54</definedName>
    <definedName name="_57h_F58">'Литовский б-р д.46 к.2'!$D$55</definedName>
    <definedName name="_57h_F59">'Литовский б-р д.46 к.2'!$D$56</definedName>
    <definedName name="_57h_F60">'Литовский б-р д.46 к.2'!$D$57</definedName>
    <definedName name="_57h_F61">'Литовский б-р д.46 к.2'!$D$58</definedName>
    <definedName name="_57h_F62">'Литовский б-р д.46 к.2'!$D$59</definedName>
    <definedName name="_57h_F63">'Литовский б-р д.46 к.2'!#REF!</definedName>
    <definedName name="_57h_F64">'Литовский б-р д.46 к.2'!$D$60</definedName>
    <definedName name="_57h_F65">'Литовский б-р д.46 к.2'!$D$61</definedName>
    <definedName name="_57h_F7">'Литовский б-р д.46 к.2'!$D$5</definedName>
    <definedName name="_57h_F8">'Литовский б-р д.46 к.2'!$D$6</definedName>
    <definedName name="_57h_F9">'Литовский б-р д.46 к.2'!$D$7</definedName>
    <definedName name="_58h_E10">'Новоясеневский пр-т д.3'!$C$8</definedName>
    <definedName name="_58h_E11">'Новоясеневский пр-т д.3'!$C$9</definedName>
    <definedName name="_58h_E12">'Новоясеневский пр-т д.3'!$C$10</definedName>
    <definedName name="_58h_E13">'Новоясеневский пр-т д.3'!$C$11</definedName>
    <definedName name="_58h_E14">'Новоясеневский пр-т д.3'!$C$12</definedName>
    <definedName name="_58h_E15">'Новоясеневский пр-т д.3'!$C$13</definedName>
    <definedName name="_58h_E16">'Новоясеневский пр-т д.3'!$C$14</definedName>
    <definedName name="_58h_E17">'Новоясеневский пр-т д.3'!$C$15</definedName>
    <definedName name="_58h_E18">'Новоясеневский пр-т д.3'!$C$16</definedName>
    <definedName name="_58h_E19">'Новоясеневский пр-т д.3'!$C$17</definedName>
    <definedName name="_58h_E20">'Новоясеневский пр-т д.3'!$C$18</definedName>
    <definedName name="_58h_E21">'Новоясеневский пр-т д.3'!$C$19</definedName>
    <definedName name="_58h_E22">'Новоясеневский пр-т д.3'!$C$20</definedName>
    <definedName name="_58h_E23">'Новоясеневский пр-т д.3'!$C$21</definedName>
    <definedName name="_58h_E24">'Новоясеневский пр-т д.3'!$C$22</definedName>
    <definedName name="_58h_E25">'Новоясеневский пр-т д.3'!$C$23</definedName>
    <definedName name="_58h_E26">'Новоясеневский пр-т д.3'!$C$24</definedName>
    <definedName name="_58h_E27">'Новоясеневский пр-т д.3'!$C$25</definedName>
    <definedName name="_58h_E28">'Новоясеневский пр-т д.3'!$C$26</definedName>
    <definedName name="_58h_E29">'Новоясеневский пр-т д.3'!$C$27</definedName>
    <definedName name="_58h_E30">'Новоясеневский пр-т д.3'!$C$28</definedName>
    <definedName name="_58h_E31">'Новоясеневский пр-т д.3'!$C$29</definedName>
    <definedName name="_58h_E32">'Новоясеневский пр-т д.3'!$C$30</definedName>
    <definedName name="_58h_E33">'Новоясеневский пр-т д.3'!$C$31</definedName>
    <definedName name="_58h_E34">'Новоясеневский пр-т д.3'!$C$32</definedName>
    <definedName name="_58h_E35">'Новоясеневский пр-т д.3'!$C$33</definedName>
    <definedName name="_58h_E36">'Новоясеневский пр-т д.3'!$C$34</definedName>
    <definedName name="_58h_E37">'Новоясеневский пр-т д.3'!$C$35</definedName>
    <definedName name="_58h_E38">'Новоясеневский пр-т д.3'!$C$36</definedName>
    <definedName name="_58h_E39">'Новоясеневский пр-т д.3'!$C$37</definedName>
    <definedName name="_58h_E40">'Новоясеневский пр-т д.3'!$C$38</definedName>
    <definedName name="_58h_E41">'Новоясеневский пр-т д.3'!$C$39</definedName>
    <definedName name="_58h_E42">'Новоясеневский пр-т д.3'!$C$40</definedName>
    <definedName name="_58h_E43">'Новоясеневский пр-т д.3'!$C$41</definedName>
    <definedName name="_58h_E44">'Новоясеневский пр-т д.3'!$C$42</definedName>
    <definedName name="_58h_E45">'Новоясеневский пр-т д.3'!$C$43</definedName>
    <definedName name="_58h_E46">'Новоясеневский пр-т д.3'!$C$44</definedName>
    <definedName name="_58h_E47">'Новоясеневский пр-т д.3'!$C$45</definedName>
    <definedName name="_58h_E48">'Новоясеневский пр-т д.3'!$C$46</definedName>
    <definedName name="_58h_E49">'Новоясеневский пр-т д.3'!$C$47</definedName>
    <definedName name="_58h_E50">'Новоясеневский пр-т д.3'!$C$48</definedName>
    <definedName name="_58h_E51">'Новоясеневский пр-т д.3'!$C$49</definedName>
    <definedName name="_58h_E52">'Новоясеневский пр-т д.3'!#REF!</definedName>
    <definedName name="_58h_E53">'Новоясеневский пр-т д.3'!$C$50</definedName>
    <definedName name="_58h_E54">'Новоясеневский пр-т д.3'!$C$51</definedName>
    <definedName name="_58h_E55">'Новоясеневский пр-т д.3'!$C$52</definedName>
    <definedName name="_58h_E56">'Новоясеневский пр-т д.3'!$C$53</definedName>
    <definedName name="_58h_E57">'Новоясеневский пр-т д.3'!$C$54</definedName>
    <definedName name="_58h_E58">'Новоясеневский пр-т д.3'!$C$55</definedName>
    <definedName name="_58h_E59">'Новоясеневский пр-т д.3'!$C$56</definedName>
    <definedName name="_58h_E60">'Новоясеневский пр-т д.3'!$C$57</definedName>
    <definedName name="_58h_E61">'Новоясеневский пр-т д.3'!$C$58</definedName>
    <definedName name="_58h_E62">'Новоясеневский пр-т д.3'!$C$59</definedName>
    <definedName name="_58h_E63">'Новоясеневский пр-т д.3'!#REF!</definedName>
    <definedName name="_58h_E64">'Новоясеневский пр-т д.3'!$C$60</definedName>
    <definedName name="_58h_E65">'Новоясеневский пр-т д.3'!$C$61</definedName>
    <definedName name="_58h_E7">'Новоясеневский пр-т д.3'!$C$5</definedName>
    <definedName name="_58h_E8">'Новоясеневский пр-т д.3'!$C$6</definedName>
    <definedName name="_58h_E9">'Новоясеневский пр-т д.3'!$C$7</definedName>
    <definedName name="_58h_F10">'Новоясеневский пр-т д.3'!$D$8</definedName>
    <definedName name="_58h_F11">'Новоясеневский пр-т д.3'!$D$9</definedName>
    <definedName name="_58h_F12">'Новоясеневский пр-т д.3'!$D$10</definedName>
    <definedName name="_58h_F13">'Новоясеневский пр-т д.3'!$D$11</definedName>
    <definedName name="_58h_F14">'Новоясеневский пр-т д.3'!$D$12</definedName>
    <definedName name="_58h_F15">'Новоясеневский пр-т д.3'!$D$13</definedName>
    <definedName name="_58h_F16">'Новоясеневский пр-т д.3'!$D$14</definedName>
    <definedName name="_58h_F17">'Новоясеневский пр-т д.3'!$D$15</definedName>
    <definedName name="_58h_F18">'Новоясеневский пр-т д.3'!$D$16</definedName>
    <definedName name="_58h_F19">'Новоясеневский пр-т д.3'!$D$17</definedName>
    <definedName name="_58h_F20">'Новоясеневский пр-т д.3'!$D$18</definedName>
    <definedName name="_58h_F21">'Новоясеневский пр-т д.3'!$D$19</definedName>
    <definedName name="_58h_F22">'Новоясеневский пр-т д.3'!$D$20</definedName>
    <definedName name="_58h_F23">'Новоясеневский пр-т д.3'!$D$21</definedName>
    <definedName name="_58h_F24">'Новоясеневский пр-т д.3'!$D$22</definedName>
    <definedName name="_58h_F25">'Новоясеневский пр-т д.3'!$D$23</definedName>
    <definedName name="_58h_F26">'Новоясеневский пр-т д.3'!$D$24</definedName>
    <definedName name="_58h_F27">'Новоясеневский пр-т д.3'!$D$25</definedName>
    <definedName name="_58h_F28">'Новоясеневский пр-т д.3'!$D$26</definedName>
    <definedName name="_58h_F29">'Новоясеневский пр-т д.3'!$D$27</definedName>
    <definedName name="_58h_F30">'Новоясеневский пр-т д.3'!$D$28</definedName>
    <definedName name="_58h_F31">'Новоясеневский пр-т д.3'!$D$29</definedName>
    <definedName name="_58h_F32">'Новоясеневский пр-т д.3'!$D$30</definedName>
    <definedName name="_58h_F33">'Новоясеневский пр-т д.3'!$D$31</definedName>
    <definedName name="_58h_F34">'Новоясеневский пр-т д.3'!$D$32</definedName>
    <definedName name="_58h_F35">'Новоясеневский пр-т д.3'!$D$33</definedName>
    <definedName name="_58h_F36">'Новоясеневский пр-т д.3'!$D$34</definedName>
    <definedName name="_58h_F37">'Новоясеневский пр-т д.3'!$D$35</definedName>
    <definedName name="_58h_F38">'Новоясеневский пр-т д.3'!$D$36</definedName>
    <definedName name="_58h_F39">'Новоясеневский пр-т д.3'!$D$37</definedName>
    <definedName name="_58h_F40">'Новоясеневский пр-т д.3'!$D$38</definedName>
    <definedName name="_58h_F41">'Новоясеневский пр-т д.3'!$D$39</definedName>
    <definedName name="_58h_F42">'Новоясеневский пр-т д.3'!$D$40</definedName>
    <definedName name="_58h_F43">'Новоясеневский пр-т д.3'!$D$41</definedName>
    <definedName name="_58h_F44">'Новоясеневский пр-т д.3'!$D$42</definedName>
    <definedName name="_58h_F45">'Новоясеневский пр-т д.3'!$D$43</definedName>
    <definedName name="_58h_F46">'Новоясеневский пр-т д.3'!$D$44</definedName>
    <definedName name="_58h_F47">'Новоясеневский пр-т д.3'!$D$45</definedName>
    <definedName name="_58h_F48">'Новоясеневский пр-т д.3'!$D$46</definedName>
    <definedName name="_58h_F49">'Новоясеневский пр-т д.3'!$D$47</definedName>
    <definedName name="_58h_F50">'Новоясеневский пр-т д.3'!$D$48</definedName>
    <definedName name="_58h_F51">'Новоясеневский пр-т д.3'!$D$49</definedName>
    <definedName name="_58h_F52">'Новоясеневский пр-т д.3'!#REF!</definedName>
    <definedName name="_58h_F53">'Новоясеневский пр-т д.3'!$D$50</definedName>
    <definedName name="_58h_F54">'Новоясеневский пр-т д.3'!$D$51</definedName>
    <definedName name="_58h_F55">'Новоясеневский пр-т д.3'!$D$52</definedName>
    <definedName name="_58h_F56">'Новоясеневский пр-т д.3'!$D$53</definedName>
    <definedName name="_58h_F57">'Новоясеневский пр-т д.3'!$D$54</definedName>
    <definedName name="_58h_F58">'Новоясеневский пр-т д.3'!$D$55</definedName>
    <definedName name="_58h_F59">'Новоясеневский пр-т д.3'!$D$56</definedName>
    <definedName name="_58h_F60">'Новоясеневский пр-т д.3'!$D$57</definedName>
    <definedName name="_58h_F61">'Новоясеневский пр-т д.3'!$D$58</definedName>
    <definedName name="_58h_F62">'Новоясеневский пр-т д.3'!$D$59</definedName>
    <definedName name="_58h_F63">'Новоясеневский пр-т д.3'!#REF!</definedName>
    <definedName name="_58h_F64">'Новоясеневский пр-т д.3'!$D$60</definedName>
    <definedName name="_58h_F65">'Новоясеневский пр-т д.3'!$D$61</definedName>
    <definedName name="_58h_F7">'Новоясеневский пр-т д.3'!$D$5</definedName>
    <definedName name="_58h_F8">'Новоясеневский пр-т д.3'!$D$6</definedName>
    <definedName name="_58h_F9">'Новоясеневский пр-т д.3'!$D$7</definedName>
    <definedName name="_59h_E10">'Новоясеневский пр-т д.5 к.1'!$C$8</definedName>
    <definedName name="_59h_E11">'Новоясеневский пр-т д.5 к.1'!$C$9</definedName>
    <definedName name="_59h_E12">'Новоясеневский пр-т д.5 к.1'!$C$10</definedName>
    <definedName name="_59h_E13">'Новоясеневский пр-т д.5 к.1'!$C$11</definedName>
    <definedName name="_59h_E14">'Новоясеневский пр-т д.5 к.1'!$C$12</definedName>
    <definedName name="_59h_E15">'Новоясеневский пр-т д.5 к.1'!$C$13</definedName>
    <definedName name="_59h_E16">'Новоясеневский пр-т д.5 к.1'!$C$14</definedName>
    <definedName name="_59h_E17">'Новоясеневский пр-т д.5 к.1'!$C$15</definedName>
    <definedName name="_59h_E18">'Новоясеневский пр-т д.5 к.1'!$C$16</definedName>
    <definedName name="_59h_E19">'Новоясеневский пр-т д.5 к.1'!$C$17</definedName>
    <definedName name="_59h_E20">'Новоясеневский пр-т д.5 к.1'!$C$18</definedName>
    <definedName name="_59h_E21">'Новоясеневский пр-т д.5 к.1'!$C$19</definedName>
    <definedName name="_59h_E22">'Новоясеневский пр-т д.5 к.1'!$C$20</definedName>
    <definedName name="_59h_E23">'Новоясеневский пр-т д.5 к.1'!$C$21</definedName>
    <definedName name="_59h_E24">'Новоясеневский пр-т д.5 к.1'!$C$22</definedName>
    <definedName name="_59h_E25">'Новоясеневский пр-т д.5 к.1'!$C$23</definedName>
    <definedName name="_59h_E26">'Новоясеневский пр-т д.5 к.1'!$C$24</definedName>
    <definedName name="_59h_E27">'Новоясеневский пр-т д.5 к.1'!$C$25</definedName>
    <definedName name="_59h_E28">'Новоясеневский пр-т д.5 к.1'!$C$26</definedName>
    <definedName name="_59h_E29">'Новоясеневский пр-т д.5 к.1'!$C$27</definedName>
    <definedName name="_59h_E30">'Новоясеневский пр-т д.5 к.1'!$C$28</definedName>
    <definedName name="_59h_E31">'Новоясеневский пр-т д.5 к.1'!$C$29</definedName>
    <definedName name="_59h_E32">'Новоясеневский пр-т д.5 к.1'!$C$30</definedName>
    <definedName name="_59h_E33">'Новоясеневский пр-т д.5 к.1'!$C$31</definedName>
    <definedName name="_59h_E34">'Новоясеневский пр-т д.5 к.1'!$C$32</definedName>
    <definedName name="_59h_E35">'Новоясеневский пр-т д.5 к.1'!$C$33</definedName>
    <definedName name="_59h_E36">'Новоясеневский пр-т д.5 к.1'!$C$34</definedName>
    <definedName name="_59h_E37">'Новоясеневский пр-т д.5 к.1'!$C$35</definedName>
    <definedName name="_59h_E38">'Новоясеневский пр-т д.5 к.1'!$C$36</definedName>
    <definedName name="_59h_E39">'Новоясеневский пр-т д.5 к.1'!$C$37</definedName>
    <definedName name="_59h_E40">'Новоясеневский пр-т д.5 к.1'!$C$38</definedName>
    <definedName name="_59h_E41">'Новоясеневский пр-т д.5 к.1'!$C$39</definedName>
    <definedName name="_59h_E42">'Новоясеневский пр-т д.5 к.1'!$C$40</definedName>
    <definedName name="_59h_E43">'Новоясеневский пр-т д.5 к.1'!$C$41</definedName>
    <definedName name="_59h_E44">'Новоясеневский пр-т д.5 к.1'!$C$42</definedName>
    <definedName name="_59h_E45">'Новоясеневский пр-т д.5 к.1'!$C$43</definedName>
    <definedName name="_59h_E46">'Новоясеневский пр-т д.5 к.1'!$C$44</definedName>
    <definedName name="_59h_E47">'Новоясеневский пр-т д.5 к.1'!$C$45</definedName>
    <definedName name="_59h_E48">'Новоясеневский пр-т д.5 к.1'!$C$46</definedName>
    <definedName name="_59h_E49">'Новоясеневский пр-т д.5 к.1'!$C$47</definedName>
    <definedName name="_59h_E50">'Новоясеневский пр-т д.5 к.1'!$C$48</definedName>
    <definedName name="_59h_E51">'Новоясеневский пр-т д.5 к.1'!$C$49</definedName>
    <definedName name="_59h_E52">'Новоясеневский пр-т д.5 к.1'!#REF!</definedName>
    <definedName name="_59h_E53">'Новоясеневский пр-т д.5 к.1'!$C$50</definedName>
    <definedName name="_59h_E54">'Новоясеневский пр-т д.5 к.1'!$C$51</definedName>
    <definedName name="_59h_E55">'Новоясеневский пр-т д.5 к.1'!$C$52</definedName>
    <definedName name="_59h_E56">'Новоясеневский пр-т д.5 к.1'!$C$53</definedName>
    <definedName name="_59h_E57">'Новоясеневский пр-т д.5 к.1'!$C$54</definedName>
    <definedName name="_59h_E58">'Новоясеневский пр-т д.5 к.1'!$C$55</definedName>
    <definedName name="_59h_E59">'Новоясеневский пр-т д.5 к.1'!$C$56</definedName>
    <definedName name="_59h_E60">'Новоясеневский пр-т д.5 к.1'!$C$57</definedName>
    <definedName name="_59h_E61">'Новоясеневский пр-т д.5 к.1'!$C$58</definedName>
    <definedName name="_59h_E62">'Новоясеневский пр-т д.5 к.1'!$C$59</definedName>
    <definedName name="_59h_E63">'Новоясеневский пр-т д.5 к.1'!#REF!</definedName>
    <definedName name="_59h_E64">'Новоясеневский пр-т д.5 к.1'!$C$60</definedName>
    <definedName name="_59h_E65">'Новоясеневский пр-т д.5 к.1'!$C$61</definedName>
    <definedName name="_59h_E7">'Новоясеневский пр-т д.5 к.1'!$C$5</definedName>
    <definedName name="_59h_E8">'Новоясеневский пр-т д.5 к.1'!$C$6</definedName>
    <definedName name="_59h_E9">'Новоясеневский пр-т д.5 к.1'!$C$7</definedName>
    <definedName name="_59h_F10">'Новоясеневский пр-т д.5 к.1'!$D$8</definedName>
    <definedName name="_59h_F11">'Новоясеневский пр-т д.5 к.1'!$D$9</definedName>
    <definedName name="_59h_F12">'Новоясеневский пр-т д.5 к.1'!$D$10</definedName>
    <definedName name="_59h_F13">'Новоясеневский пр-т д.5 к.1'!$D$11</definedName>
    <definedName name="_59h_F14">'Новоясеневский пр-т д.5 к.1'!$D$12</definedName>
    <definedName name="_59h_F15">'Новоясеневский пр-т д.5 к.1'!$D$13</definedName>
    <definedName name="_59h_F16">'Новоясеневский пр-т д.5 к.1'!$D$14</definedName>
    <definedName name="_59h_F17">'Новоясеневский пр-т д.5 к.1'!$D$15</definedName>
    <definedName name="_59h_F18">'Новоясеневский пр-т д.5 к.1'!$D$16</definedName>
    <definedName name="_59h_F19">'Новоясеневский пр-т д.5 к.1'!$D$17</definedName>
    <definedName name="_59h_F20">'Новоясеневский пр-т д.5 к.1'!$D$18</definedName>
    <definedName name="_59h_F21">'Новоясеневский пр-т д.5 к.1'!$D$19</definedName>
    <definedName name="_59h_F22">'Новоясеневский пр-т д.5 к.1'!$D$20</definedName>
    <definedName name="_59h_F23">'Новоясеневский пр-т д.5 к.1'!$D$21</definedName>
    <definedName name="_59h_F24">'Новоясеневский пр-т д.5 к.1'!$D$22</definedName>
    <definedName name="_59h_F25">'Новоясеневский пр-т д.5 к.1'!$D$23</definedName>
    <definedName name="_59h_F26">'Новоясеневский пр-т д.5 к.1'!$D$24</definedName>
    <definedName name="_59h_F27">'Новоясеневский пр-т д.5 к.1'!$D$25</definedName>
    <definedName name="_59h_F28">'Новоясеневский пр-т д.5 к.1'!$D$26</definedName>
    <definedName name="_59h_F29">'Новоясеневский пр-т д.5 к.1'!$D$27</definedName>
    <definedName name="_59h_F30">'Новоясеневский пр-т д.5 к.1'!$D$28</definedName>
    <definedName name="_59h_F31">'Новоясеневский пр-т д.5 к.1'!$D$29</definedName>
    <definedName name="_59h_F32">'Новоясеневский пр-т д.5 к.1'!$D$30</definedName>
    <definedName name="_59h_F33">'Новоясеневский пр-т д.5 к.1'!$D$31</definedName>
    <definedName name="_59h_F34">'Новоясеневский пр-т д.5 к.1'!$D$32</definedName>
    <definedName name="_59h_F35">'Новоясеневский пр-т д.5 к.1'!$D$33</definedName>
    <definedName name="_59h_F36">'Новоясеневский пр-т д.5 к.1'!$D$34</definedName>
    <definedName name="_59h_F37">'Новоясеневский пр-т д.5 к.1'!$D$35</definedName>
    <definedName name="_59h_F38">'Новоясеневский пр-т д.5 к.1'!$D$36</definedName>
    <definedName name="_59h_F39">'Новоясеневский пр-т д.5 к.1'!$D$37</definedName>
    <definedName name="_59h_F40">'Новоясеневский пр-т д.5 к.1'!$D$38</definedName>
    <definedName name="_59h_F41">'Новоясеневский пр-т д.5 к.1'!$D$39</definedName>
    <definedName name="_59h_F42">'Новоясеневский пр-т д.5 к.1'!$D$40</definedName>
    <definedName name="_59h_F43">'Новоясеневский пр-т д.5 к.1'!$D$41</definedName>
    <definedName name="_59h_F44">'Новоясеневский пр-т д.5 к.1'!$D$42</definedName>
    <definedName name="_59h_F45">'Новоясеневский пр-т д.5 к.1'!$D$43</definedName>
    <definedName name="_59h_F46">'Новоясеневский пр-т д.5 к.1'!$D$44</definedName>
    <definedName name="_59h_F47">'Новоясеневский пр-т д.5 к.1'!$D$45</definedName>
    <definedName name="_59h_F48">'Новоясеневский пр-т д.5 к.1'!$D$46</definedName>
    <definedName name="_59h_F49">'Новоясеневский пр-т д.5 к.1'!$D$47</definedName>
    <definedName name="_59h_F50">'Новоясеневский пр-т д.5 к.1'!$D$48</definedName>
    <definedName name="_59h_F51">'Новоясеневский пр-т д.5 к.1'!$D$49</definedName>
    <definedName name="_59h_F52">'Новоясеневский пр-т д.5 к.1'!#REF!</definedName>
    <definedName name="_59h_F53">'Новоясеневский пр-т д.5 к.1'!$D$50</definedName>
    <definedName name="_59h_F54">'Новоясеневский пр-т д.5 к.1'!$D$51</definedName>
    <definedName name="_59h_F55">'Новоясеневский пр-т д.5 к.1'!$D$52</definedName>
    <definedName name="_59h_F56">'Новоясеневский пр-т д.5 к.1'!$D$53</definedName>
    <definedName name="_59h_F57">'Новоясеневский пр-т д.5 к.1'!$D$54</definedName>
    <definedName name="_59h_F58">'Новоясеневский пр-т д.5 к.1'!$D$55</definedName>
    <definedName name="_59h_F59">'Новоясеневский пр-т д.5 к.1'!$D$56</definedName>
    <definedName name="_59h_F60">'Новоясеневский пр-т д.5 к.1'!$D$57</definedName>
    <definedName name="_59h_F61">'Новоясеневский пр-т д.5 к.1'!$D$58</definedName>
    <definedName name="_59h_F62">'Новоясеневский пр-т д.5 к.1'!$D$59</definedName>
    <definedName name="_59h_F63">'Новоясеневский пр-т д.5 к.1'!#REF!</definedName>
    <definedName name="_59h_F64">'Новоясеневский пр-т д.5 к.1'!$D$60</definedName>
    <definedName name="_59h_F65">'Новоясеневский пр-т д.5 к.1'!$D$61</definedName>
    <definedName name="_59h_F7">'Новоясеневский пр-т д.5 к.1'!$D$5</definedName>
    <definedName name="_59h_F8">'Новоясеневский пр-т д.5 к.1'!$D$6</definedName>
    <definedName name="_59h_F9">'Новоясеневский пр-т д.5 к.1'!$D$7</definedName>
    <definedName name="_5h_E10">'Вильнюсская д.3 к.1'!$C$8</definedName>
    <definedName name="_5h_E11">'Вильнюсская д.3 к.1'!$C$9</definedName>
    <definedName name="_5h_E12">'Вильнюсская д.3 к.1'!$C$10</definedName>
    <definedName name="_5h_E13">'Вильнюсская д.3 к.1'!$C$11</definedName>
    <definedName name="_5h_E14">'Вильнюсская д.3 к.1'!$C$12</definedName>
    <definedName name="_5h_E15">'Вильнюсская д.3 к.1'!$C$13</definedName>
    <definedName name="_5h_E16">'Вильнюсская д.3 к.1'!$C$14</definedName>
    <definedName name="_5h_E17">'Вильнюсская д.3 к.1'!$C$15</definedName>
    <definedName name="_5h_E18">'Вильнюсская д.3 к.1'!$C$16</definedName>
    <definedName name="_5h_E19">'Вильнюсская д.3 к.1'!$C$17</definedName>
    <definedName name="_5h_E20">'Вильнюсская д.3 к.1'!$C$18</definedName>
    <definedName name="_5h_E21">'Вильнюсская д.3 к.1'!$C$19</definedName>
    <definedName name="_5h_E22">'Вильнюсская д.3 к.1'!$C$20</definedName>
    <definedName name="_5h_E23">'Вильнюсская д.3 к.1'!$C$21</definedName>
    <definedName name="_5h_E24">'Вильнюсская д.3 к.1'!$C$22</definedName>
    <definedName name="_5h_E25">'Вильнюсская д.3 к.1'!$C$23</definedName>
    <definedName name="_5h_E26">'Вильнюсская д.3 к.1'!$C$24</definedName>
    <definedName name="_5h_E27">'Вильнюсская д.3 к.1'!$C$25</definedName>
    <definedName name="_5h_E28">'Вильнюсская д.3 к.1'!$C$26</definedName>
    <definedName name="_5h_E29">'Вильнюсская д.3 к.1'!$C$27</definedName>
    <definedName name="_5h_E30">'Вильнюсская д.3 к.1'!$C$28</definedName>
    <definedName name="_5h_E31">'Вильнюсская д.3 к.1'!$C$29</definedName>
    <definedName name="_5h_E32">'Вильнюсская д.3 к.1'!$C$30</definedName>
    <definedName name="_5h_E33">'Вильнюсская д.3 к.1'!$C$31</definedName>
    <definedName name="_5h_E34">'Вильнюсская д.3 к.1'!$C$32</definedName>
    <definedName name="_5h_E35">'Вильнюсская д.3 к.1'!$C$33</definedName>
    <definedName name="_5h_E36">'Вильнюсская д.3 к.1'!$C$34</definedName>
    <definedName name="_5h_E37">'Вильнюсская д.3 к.1'!$C$35</definedName>
    <definedName name="_5h_E38">'Вильнюсская д.3 к.1'!$C$36</definedName>
    <definedName name="_5h_E39">'Вильнюсская д.3 к.1'!$C$37</definedName>
    <definedName name="_5h_E40">'Вильнюсская д.3 к.1'!$C$38</definedName>
    <definedName name="_5h_E41">'Вильнюсская д.3 к.1'!$C$39</definedName>
    <definedName name="_5h_E42">'Вильнюсская д.3 к.1'!$C$40</definedName>
    <definedName name="_5h_E43">'Вильнюсская д.3 к.1'!$C$41</definedName>
    <definedName name="_5h_E44">'Вильнюсская д.3 к.1'!$C$42</definedName>
    <definedName name="_5h_E45">'Вильнюсская д.3 к.1'!$C$43</definedName>
    <definedName name="_5h_E46">'Вильнюсская д.3 к.1'!$C$44</definedName>
    <definedName name="_5h_E47">'Вильнюсская д.3 к.1'!$C$45</definedName>
    <definedName name="_5h_E48">'Вильнюсская д.3 к.1'!$C$46</definedName>
    <definedName name="_5h_E49">'Вильнюсская д.3 к.1'!$C$47</definedName>
    <definedName name="_5h_E50">'Вильнюсская д.3 к.1'!$C$48</definedName>
    <definedName name="_5h_E51">'Вильнюсская д.3 к.1'!$C$49</definedName>
    <definedName name="_5h_E52">'Вильнюсская д.3 к.1'!#REF!</definedName>
    <definedName name="_5h_E53">'Вильнюсская д.3 к.1'!$C$50</definedName>
    <definedName name="_5h_E54">'Вильнюсская д.3 к.1'!$C$51</definedName>
    <definedName name="_5h_E55">'Вильнюсская д.3 к.1'!$C$52</definedName>
    <definedName name="_5h_E56">'Вильнюсская д.3 к.1'!$C$53</definedName>
    <definedName name="_5h_E57">'Вильнюсская д.3 к.1'!$C$54</definedName>
    <definedName name="_5h_E58">'Вильнюсская д.3 к.1'!$C$55</definedName>
    <definedName name="_5h_E59">'Вильнюсская д.3 к.1'!$C$56</definedName>
    <definedName name="_5h_E60">'Вильнюсская д.3 к.1'!$C$57</definedName>
    <definedName name="_5h_E61">'Вильнюсская д.3 к.1'!$C$58</definedName>
    <definedName name="_5h_E62">'Вильнюсская д.3 к.1'!$C$59</definedName>
    <definedName name="_5h_E63">'Вильнюсская д.3 к.1'!#REF!</definedName>
    <definedName name="_5h_E64">'Вильнюсская д.3 к.1'!$C$60</definedName>
    <definedName name="_5h_E65">'Вильнюсская д.3 к.1'!$C$61</definedName>
    <definedName name="_5h_E7">'Вильнюсская д.3 к.1'!$C$5</definedName>
    <definedName name="_5h_E8">'Вильнюсская д.3 к.1'!$C$6</definedName>
    <definedName name="_5h_E9">'Вильнюсская д.3 к.1'!$C$7</definedName>
    <definedName name="_5h_F10">'Вильнюсская д.3 к.1'!$D$8</definedName>
    <definedName name="_5h_F11">'Вильнюсская д.3 к.1'!$D$9</definedName>
    <definedName name="_5h_F12">'Вильнюсская д.3 к.1'!$D$10</definedName>
    <definedName name="_5h_F13">'Вильнюсская д.3 к.1'!$D$11</definedName>
    <definedName name="_5h_F14">'Вильнюсская д.3 к.1'!$D$12</definedName>
    <definedName name="_5h_F15">'Вильнюсская д.3 к.1'!$D$13</definedName>
    <definedName name="_5h_F16">'Вильнюсская д.3 к.1'!$D$14</definedName>
    <definedName name="_5h_F17">'Вильнюсская д.3 к.1'!$D$15</definedName>
    <definedName name="_5h_F18">'Вильнюсская д.3 к.1'!$D$16</definedName>
    <definedName name="_5h_F19">'Вильнюсская д.3 к.1'!$D$17</definedName>
    <definedName name="_5h_F20">'Вильнюсская д.3 к.1'!$D$18</definedName>
    <definedName name="_5h_F21">'Вильнюсская д.3 к.1'!$D$19</definedName>
    <definedName name="_5h_F22">'Вильнюсская д.3 к.1'!$D$20</definedName>
    <definedName name="_5h_F23">'Вильнюсская д.3 к.1'!$D$21</definedName>
    <definedName name="_5h_F24">'Вильнюсская д.3 к.1'!$D$22</definedName>
    <definedName name="_5h_F25">'Вильнюсская д.3 к.1'!$D$23</definedName>
    <definedName name="_5h_F26">'Вильнюсская д.3 к.1'!$D$24</definedName>
    <definedName name="_5h_F27">'Вильнюсская д.3 к.1'!$D$25</definedName>
    <definedName name="_5h_F28">'Вильнюсская д.3 к.1'!$D$26</definedName>
    <definedName name="_5h_F29">'Вильнюсская д.3 к.1'!$D$27</definedName>
    <definedName name="_5h_F30">'Вильнюсская д.3 к.1'!$D$28</definedName>
    <definedName name="_5h_F31">'Вильнюсская д.3 к.1'!$D$29</definedName>
    <definedName name="_5h_F32">'Вильнюсская д.3 к.1'!$D$30</definedName>
    <definedName name="_5h_F33">'Вильнюсская д.3 к.1'!$D$31</definedName>
    <definedName name="_5h_F34">'Вильнюсская д.3 к.1'!$D$32</definedName>
    <definedName name="_5h_F35">'Вильнюсская д.3 к.1'!$D$33</definedName>
    <definedName name="_5h_F36">'Вильнюсская д.3 к.1'!$D$34</definedName>
    <definedName name="_5h_F37">'Вильнюсская д.3 к.1'!$D$35</definedName>
    <definedName name="_5h_F38">'Вильнюсская д.3 к.1'!$D$36</definedName>
    <definedName name="_5h_F39">'Вильнюсская д.3 к.1'!$D$37</definedName>
    <definedName name="_5h_F40">'Вильнюсская д.3 к.1'!$D$38</definedName>
    <definedName name="_5h_F41">'Вильнюсская д.3 к.1'!$D$39</definedName>
    <definedName name="_5h_F42">'Вильнюсская д.3 к.1'!$D$40</definedName>
    <definedName name="_5h_F43">'Вильнюсская д.3 к.1'!$D$41</definedName>
    <definedName name="_5h_F44">'Вильнюсская д.3 к.1'!$D$42</definedName>
    <definedName name="_5h_F45">'Вильнюсская д.3 к.1'!$D$43</definedName>
    <definedName name="_5h_F46">'Вильнюсская д.3 к.1'!$D$44</definedName>
    <definedName name="_5h_F47">'Вильнюсская д.3 к.1'!$D$45</definedName>
    <definedName name="_5h_F48">'Вильнюсская д.3 к.1'!$D$46</definedName>
    <definedName name="_5h_F49">'Вильнюсская д.3 к.1'!$D$47</definedName>
    <definedName name="_5h_F50">'Вильнюсская д.3 к.1'!$D$48</definedName>
    <definedName name="_5h_F51">'Вильнюсская д.3 к.1'!$D$49</definedName>
    <definedName name="_5h_F52">'Вильнюсская д.3 к.1'!#REF!</definedName>
    <definedName name="_5h_F53">'Вильнюсская д.3 к.1'!$D$50</definedName>
    <definedName name="_5h_F54">'Вильнюсская д.3 к.1'!$D$51</definedName>
    <definedName name="_5h_F55">'Вильнюсская д.3 к.1'!$D$52</definedName>
    <definedName name="_5h_F56">'Вильнюсская д.3 к.1'!$D$53</definedName>
    <definedName name="_5h_F57">'Вильнюсская д.3 к.1'!$D$54</definedName>
    <definedName name="_5h_F58">'Вильнюсская д.3 к.1'!$D$55</definedName>
    <definedName name="_5h_F59">'Вильнюсская д.3 к.1'!$D$56</definedName>
    <definedName name="_5h_F60">'Вильнюсская д.3 к.1'!$D$57</definedName>
    <definedName name="_5h_F61">'Вильнюсская д.3 к.1'!$D$58</definedName>
    <definedName name="_5h_F62">'Вильнюсская д.3 к.1'!$D$59</definedName>
    <definedName name="_5h_F63">'Вильнюсская д.3 к.1'!#REF!</definedName>
    <definedName name="_5h_F64">'Вильнюсская д.3 к.1'!$D$60</definedName>
    <definedName name="_5h_F65">'Вильнюсская д.3 к.1'!$D$61</definedName>
    <definedName name="_5h_F7">'Вильнюсская д.3 к.1'!$D$5</definedName>
    <definedName name="_5h_F8">'Вильнюсская д.3 к.1'!$D$6</definedName>
    <definedName name="_5h_F9">'Вильнюсская д.3 к.1'!$D$7</definedName>
    <definedName name="_60h_E10">'Новоясеневский пр-т д.12 к.1'!$C$8</definedName>
    <definedName name="_60h_E11">'Новоясеневский пр-т д.12 к.1'!$C$9</definedName>
    <definedName name="_60h_E12">'Новоясеневский пр-т д.12 к.1'!$C$10</definedName>
    <definedName name="_60h_E13">'Новоясеневский пр-т д.12 к.1'!$C$11</definedName>
    <definedName name="_60h_E14">'Новоясеневский пр-т д.12 к.1'!$C$12</definedName>
    <definedName name="_60h_E15">'Новоясеневский пр-т д.12 к.1'!$C$13</definedName>
    <definedName name="_60h_E16">'Новоясеневский пр-т д.12 к.1'!$C$14</definedName>
    <definedName name="_60h_E17">'Новоясеневский пр-т д.12 к.1'!$C$15</definedName>
    <definedName name="_60h_E18">'Новоясеневский пр-т д.12 к.1'!$C$16</definedName>
    <definedName name="_60h_E19">'Новоясеневский пр-т д.12 к.1'!$C$17</definedName>
    <definedName name="_60h_E20">'Новоясеневский пр-т д.12 к.1'!$C$18</definedName>
    <definedName name="_60h_E21">'Новоясеневский пр-т д.12 к.1'!$C$19</definedName>
    <definedName name="_60h_E22">'Новоясеневский пр-т д.12 к.1'!$C$20</definedName>
    <definedName name="_60h_E23">'Новоясеневский пр-т д.12 к.1'!$C$21</definedName>
    <definedName name="_60h_E24">'Новоясеневский пр-т д.12 к.1'!$C$22</definedName>
    <definedName name="_60h_E25">'Новоясеневский пр-т д.12 к.1'!$C$23</definedName>
    <definedName name="_60h_E26">'Новоясеневский пр-т д.12 к.1'!$C$24</definedName>
    <definedName name="_60h_E27">'Новоясеневский пр-т д.12 к.1'!$C$25</definedName>
    <definedName name="_60h_E28">'Новоясеневский пр-т д.12 к.1'!$C$26</definedName>
    <definedName name="_60h_E29">'Новоясеневский пр-т д.12 к.1'!$C$27</definedName>
    <definedName name="_60h_E30">'Новоясеневский пр-т д.12 к.1'!$C$28</definedName>
    <definedName name="_60h_E31">'Новоясеневский пр-т д.12 к.1'!$C$29</definedName>
    <definedName name="_60h_E32">'Новоясеневский пр-т д.12 к.1'!$C$30</definedName>
    <definedName name="_60h_E33">'Новоясеневский пр-т д.12 к.1'!$C$31</definedName>
    <definedName name="_60h_E34">'Новоясеневский пр-т д.12 к.1'!$C$32</definedName>
    <definedName name="_60h_E35">'Новоясеневский пр-т д.12 к.1'!$C$33</definedName>
    <definedName name="_60h_E36">'Новоясеневский пр-т д.12 к.1'!$C$34</definedName>
    <definedName name="_60h_E37">'Новоясеневский пр-т д.12 к.1'!$C$35</definedName>
    <definedName name="_60h_E38">'Новоясеневский пр-т д.12 к.1'!$C$36</definedName>
    <definedName name="_60h_E39">'Новоясеневский пр-т д.12 к.1'!$C$37</definedName>
    <definedName name="_60h_E40">'Новоясеневский пр-т д.12 к.1'!$C$38</definedName>
    <definedName name="_60h_E41">'Новоясеневский пр-т д.12 к.1'!$C$39</definedName>
    <definedName name="_60h_E42">'Новоясеневский пр-т д.12 к.1'!$C$40</definedName>
    <definedName name="_60h_E43">'Новоясеневский пр-т д.12 к.1'!$C$41</definedName>
    <definedName name="_60h_E44">'Новоясеневский пр-т д.12 к.1'!$C$42</definedName>
    <definedName name="_60h_E45">'Новоясеневский пр-т д.12 к.1'!$C$43</definedName>
    <definedName name="_60h_E46">'Новоясеневский пр-т д.12 к.1'!$C$44</definedName>
    <definedName name="_60h_E47">'Новоясеневский пр-т д.12 к.1'!$C$45</definedName>
    <definedName name="_60h_E48">'Новоясеневский пр-т д.12 к.1'!$C$46</definedName>
    <definedName name="_60h_E49">'Новоясеневский пр-т д.12 к.1'!$C$47</definedName>
    <definedName name="_60h_E50">'Новоясеневский пр-т д.12 к.1'!$C$48</definedName>
    <definedName name="_60h_E51">'Новоясеневский пр-т д.12 к.1'!$C$49</definedName>
    <definedName name="_60h_E52">'Новоясеневский пр-т д.12 к.1'!#REF!</definedName>
    <definedName name="_60h_E53">'Новоясеневский пр-т д.12 к.1'!$C$50</definedName>
    <definedName name="_60h_E54">'Новоясеневский пр-т д.12 к.1'!$C$51</definedName>
    <definedName name="_60h_E55">'Новоясеневский пр-т д.12 к.1'!$C$52</definedName>
    <definedName name="_60h_E56">'Новоясеневский пр-т д.12 к.1'!$C$53</definedName>
    <definedName name="_60h_E57">'Новоясеневский пр-т д.12 к.1'!$C$54</definedName>
    <definedName name="_60h_E58">'Новоясеневский пр-т д.12 к.1'!$C$55</definedName>
    <definedName name="_60h_E59">'Новоясеневский пр-т д.12 к.1'!$C$56</definedName>
    <definedName name="_60h_E60">'Новоясеневский пр-т д.12 к.1'!$C$57</definedName>
    <definedName name="_60h_E61">'Новоясеневский пр-т д.12 к.1'!$C$58</definedName>
    <definedName name="_60h_E62">'Новоясеневский пр-т д.12 к.1'!$C$59</definedName>
    <definedName name="_60h_E63">'Новоясеневский пр-т д.12 к.1'!#REF!</definedName>
    <definedName name="_60h_E64">'Новоясеневский пр-т д.12 к.1'!$C$60</definedName>
    <definedName name="_60h_E65">'Новоясеневский пр-т д.12 к.1'!$C$61</definedName>
    <definedName name="_60h_E7">'Новоясеневский пр-т д.12 к.1'!$C$5</definedName>
    <definedName name="_60h_E8">'Новоясеневский пр-т д.12 к.1'!$C$6</definedName>
    <definedName name="_60h_E9">'Новоясеневский пр-т д.12 к.1'!$C$7</definedName>
    <definedName name="_60h_F10">'Новоясеневский пр-т д.12 к.1'!$D$8</definedName>
    <definedName name="_60h_F11">'Новоясеневский пр-т д.12 к.1'!$D$9</definedName>
    <definedName name="_60h_F12">'Новоясеневский пр-т д.12 к.1'!$D$10</definedName>
    <definedName name="_60h_F13">'Новоясеневский пр-т д.12 к.1'!$D$11</definedName>
    <definedName name="_60h_F14">'Новоясеневский пр-т д.12 к.1'!$D$12</definedName>
    <definedName name="_60h_F15">'Новоясеневский пр-т д.12 к.1'!$D$13</definedName>
    <definedName name="_60h_F16">'Новоясеневский пр-т д.12 к.1'!$D$14</definedName>
    <definedName name="_60h_F17">'Новоясеневский пр-т д.12 к.1'!$D$15</definedName>
    <definedName name="_60h_F18">'Новоясеневский пр-т д.12 к.1'!$D$16</definedName>
    <definedName name="_60h_F19">'Новоясеневский пр-т д.12 к.1'!$D$17</definedName>
    <definedName name="_60h_F20">'Новоясеневский пр-т д.12 к.1'!$D$18</definedName>
    <definedName name="_60h_F21">'Новоясеневский пр-т д.12 к.1'!$D$19</definedName>
    <definedName name="_60h_F22">'Новоясеневский пр-т д.12 к.1'!$D$20</definedName>
    <definedName name="_60h_F23">'Новоясеневский пр-т д.12 к.1'!$D$21</definedName>
    <definedName name="_60h_F24">'Новоясеневский пр-т д.12 к.1'!$D$22</definedName>
    <definedName name="_60h_F25">'Новоясеневский пр-т д.12 к.1'!$D$23</definedName>
    <definedName name="_60h_F26">'Новоясеневский пр-т д.12 к.1'!$D$24</definedName>
    <definedName name="_60h_F27">'Новоясеневский пр-т д.12 к.1'!$D$25</definedName>
    <definedName name="_60h_F28">'Новоясеневский пр-т д.12 к.1'!$D$26</definedName>
    <definedName name="_60h_F29">'Новоясеневский пр-т д.12 к.1'!$D$27</definedName>
    <definedName name="_60h_F30">'Новоясеневский пр-т д.12 к.1'!$D$28</definedName>
    <definedName name="_60h_F31">'Новоясеневский пр-т д.12 к.1'!$D$29</definedName>
    <definedName name="_60h_F32">'Новоясеневский пр-т д.12 к.1'!$D$30</definedName>
    <definedName name="_60h_F33">'Новоясеневский пр-т д.12 к.1'!$D$31</definedName>
    <definedName name="_60h_F34">'Новоясеневский пр-т д.12 к.1'!$D$32</definedName>
    <definedName name="_60h_F35">'Новоясеневский пр-т д.12 к.1'!$D$33</definedName>
    <definedName name="_60h_F36">'Новоясеневский пр-т д.12 к.1'!$D$34</definedName>
    <definedName name="_60h_F37">'Новоясеневский пр-т д.12 к.1'!$D$35</definedName>
    <definedName name="_60h_F38">'Новоясеневский пр-т д.12 к.1'!$D$36</definedName>
    <definedName name="_60h_F39">'Новоясеневский пр-т д.12 к.1'!$D$37</definedName>
    <definedName name="_60h_F40">'Новоясеневский пр-т д.12 к.1'!$D$38</definedName>
    <definedName name="_60h_F41">'Новоясеневский пр-т д.12 к.1'!$D$39</definedName>
    <definedName name="_60h_F42">'Новоясеневский пр-т д.12 к.1'!$D$40</definedName>
    <definedName name="_60h_F43">'Новоясеневский пр-т д.12 к.1'!$D$41</definedName>
    <definedName name="_60h_F44">'Новоясеневский пр-т д.12 к.1'!$D$42</definedName>
    <definedName name="_60h_F45">'Новоясеневский пр-т д.12 к.1'!$D$43</definedName>
    <definedName name="_60h_F46">'Новоясеневский пр-т д.12 к.1'!$D$44</definedName>
    <definedName name="_60h_F47">'Новоясеневский пр-т д.12 к.1'!$D$45</definedName>
    <definedName name="_60h_F48">'Новоясеневский пр-т д.12 к.1'!$D$46</definedName>
    <definedName name="_60h_F49">'Новоясеневский пр-т д.12 к.1'!$D$47</definedName>
    <definedName name="_60h_F50">'Новоясеневский пр-т д.12 к.1'!$D$48</definedName>
    <definedName name="_60h_F51">'Новоясеневский пр-т д.12 к.1'!$D$49</definedName>
    <definedName name="_60h_F52">'Новоясеневский пр-т д.12 к.1'!#REF!</definedName>
    <definedName name="_60h_F53">'Новоясеневский пр-т д.12 к.1'!$D$50</definedName>
    <definedName name="_60h_F54">'Новоясеневский пр-т д.12 к.1'!$D$51</definedName>
    <definedName name="_60h_F55">'Новоясеневский пр-т д.12 к.1'!$D$52</definedName>
    <definedName name="_60h_F56">'Новоясеневский пр-т д.12 к.1'!$D$53</definedName>
    <definedName name="_60h_F57">'Новоясеневский пр-т д.12 к.1'!$D$54</definedName>
    <definedName name="_60h_F58">'Новоясеневский пр-т д.12 к.1'!$D$55</definedName>
    <definedName name="_60h_F59">'Новоясеневский пр-т д.12 к.1'!$D$56</definedName>
    <definedName name="_60h_F60">'Новоясеневский пр-т д.12 к.1'!$D$57</definedName>
    <definedName name="_60h_F61">'Новоясеневский пр-т д.12 к.1'!$D$58</definedName>
    <definedName name="_60h_F62">'Новоясеневский пр-т д.12 к.1'!$D$59</definedName>
    <definedName name="_60h_F63">'Новоясеневский пр-т д.12 к.1'!#REF!</definedName>
    <definedName name="_60h_F64">'Новоясеневский пр-т д.12 к.1'!$D$60</definedName>
    <definedName name="_60h_F65">'Новоясеневский пр-т д.12 к.1'!$D$61</definedName>
    <definedName name="_60h_F7">'Новоясеневский пр-т д.12 к.1'!$D$5</definedName>
    <definedName name="_60h_F8">'Новоясеневский пр-т д.12 к.1'!$D$6</definedName>
    <definedName name="_60h_F9">'Новоясеневский пр-т д.12 к.1'!$D$7</definedName>
    <definedName name="_61h_E10">'Новоясеневский пр-т д.13 к.1'!$C$8</definedName>
    <definedName name="_61h_E11">'Новоясеневский пр-т д.13 к.1'!$C$9</definedName>
    <definedName name="_61h_E12">'Новоясеневский пр-т д.13 к.1'!$C$10</definedName>
    <definedName name="_61h_E13">'Новоясеневский пр-т д.13 к.1'!$C$11</definedName>
    <definedName name="_61h_E14">'Новоясеневский пр-т д.13 к.1'!$C$12</definedName>
    <definedName name="_61h_E15">'Новоясеневский пр-т д.13 к.1'!$C$13</definedName>
    <definedName name="_61h_E16">'Новоясеневский пр-т д.13 к.1'!$C$14</definedName>
    <definedName name="_61h_E17">'Новоясеневский пр-т д.13 к.1'!$C$15</definedName>
    <definedName name="_61h_E18">'Новоясеневский пр-т д.13 к.1'!$C$16</definedName>
    <definedName name="_61h_E19">'Новоясеневский пр-т д.13 к.1'!$C$17</definedName>
    <definedName name="_61h_E20">'Новоясеневский пр-т д.13 к.1'!$C$18</definedName>
    <definedName name="_61h_E21">'Новоясеневский пр-т д.13 к.1'!$C$19</definedName>
    <definedName name="_61h_E22">'Новоясеневский пр-т д.13 к.1'!$C$20</definedName>
    <definedName name="_61h_E23">'Новоясеневский пр-т д.13 к.1'!$C$21</definedName>
    <definedName name="_61h_E24">'Новоясеневский пр-т д.13 к.1'!$C$22</definedName>
    <definedName name="_61h_E25">'Новоясеневский пр-т д.13 к.1'!$C$23</definedName>
    <definedName name="_61h_E26">'Новоясеневский пр-т д.13 к.1'!$C$24</definedName>
    <definedName name="_61h_E27">'Новоясеневский пр-т д.13 к.1'!$C$25</definedName>
    <definedName name="_61h_E28">'Новоясеневский пр-т д.13 к.1'!$C$26</definedName>
    <definedName name="_61h_E29">'Новоясеневский пр-т д.13 к.1'!$C$27</definedName>
    <definedName name="_61h_E30">'Новоясеневский пр-т д.13 к.1'!$C$28</definedName>
    <definedName name="_61h_E31">'Новоясеневский пр-т д.13 к.1'!$C$29</definedName>
    <definedName name="_61h_E32">'Новоясеневский пр-т д.13 к.1'!$C$30</definedName>
    <definedName name="_61h_E33">'Новоясеневский пр-т д.13 к.1'!$C$31</definedName>
    <definedName name="_61h_E34">'Новоясеневский пр-т д.13 к.1'!$C$32</definedName>
    <definedName name="_61h_E35">'Новоясеневский пр-т д.13 к.1'!$C$33</definedName>
    <definedName name="_61h_E36">'Новоясеневский пр-т д.13 к.1'!$C$34</definedName>
    <definedName name="_61h_E37">'Новоясеневский пр-т д.13 к.1'!$C$35</definedName>
    <definedName name="_61h_E38">'Новоясеневский пр-т д.13 к.1'!$C$36</definedName>
    <definedName name="_61h_E39">'Новоясеневский пр-т д.13 к.1'!$C$37</definedName>
    <definedName name="_61h_E40">'Новоясеневский пр-т д.13 к.1'!$C$38</definedName>
    <definedName name="_61h_E41">'Новоясеневский пр-т д.13 к.1'!$C$39</definedName>
    <definedName name="_61h_E42">'Новоясеневский пр-т д.13 к.1'!$C$40</definedName>
    <definedName name="_61h_E43">'Новоясеневский пр-т д.13 к.1'!$C$41</definedName>
    <definedName name="_61h_E44">'Новоясеневский пр-т д.13 к.1'!$C$42</definedName>
    <definedName name="_61h_E45">'Новоясеневский пр-т д.13 к.1'!$C$43</definedName>
    <definedName name="_61h_E46">'Новоясеневский пр-т д.13 к.1'!$C$44</definedName>
    <definedName name="_61h_E47">'Новоясеневский пр-т д.13 к.1'!$C$45</definedName>
    <definedName name="_61h_E48">'Новоясеневский пр-т д.13 к.1'!$C$46</definedName>
    <definedName name="_61h_E49">'Новоясеневский пр-т д.13 к.1'!$C$47</definedName>
    <definedName name="_61h_E50">'Новоясеневский пр-т д.13 к.1'!$C$48</definedName>
    <definedName name="_61h_E51">'Новоясеневский пр-т д.13 к.1'!$C$49</definedName>
    <definedName name="_61h_E52">'Новоясеневский пр-т д.13 к.1'!#REF!</definedName>
    <definedName name="_61h_E53">'Новоясеневский пр-т д.13 к.1'!$C$50</definedName>
    <definedName name="_61h_E54">'Новоясеневский пр-т д.13 к.1'!$C$51</definedName>
    <definedName name="_61h_E55">'Новоясеневский пр-т д.13 к.1'!$C$52</definedName>
    <definedName name="_61h_E56">'Новоясеневский пр-т д.13 к.1'!$C$53</definedName>
    <definedName name="_61h_E57">'Новоясеневский пр-т д.13 к.1'!$C$54</definedName>
    <definedName name="_61h_E58">'Новоясеневский пр-т д.13 к.1'!$C$55</definedName>
    <definedName name="_61h_E59">'Новоясеневский пр-т д.13 к.1'!$C$56</definedName>
    <definedName name="_61h_E60">'Новоясеневский пр-т д.13 к.1'!$C$57</definedName>
    <definedName name="_61h_E61">'Новоясеневский пр-т д.13 к.1'!$C$58</definedName>
    <definedName name="_61h_E62">'Новоясеневский пр-т д.13 к.1'!$C$59</definedName>
    <definedName name="_61h_E63">'Новоясеневский пр-т д.13 к.1'!#REF!</definedName>
    <definedName name="_61h_E64">'Новоясеневский пр-т д.13 к.1'!$C$60</definedName>
    <definedName name="_61h_E65">'Новоясеневский пр-т д.13 к.1'!$C$61</definedName>
    <definedName name="_61h_E7">'Новоясеневский пр-т д.13 к.1'!$C$5</definedName>
    <definedName name="_61h_E8">'Новоясеневский пр-т д.13 к.1'!$C$6</definedName>
    <definedName name="_61h_E9">'Новоясеневский пр-т д.13 к.1'!$C$7</definedName>
    <definedName name="_61h_F10">'Новоясеневский пр-т д.13 к.1'!$D$8</definedName>
    <definedName name="_61h_F11">'Новоясеневский пр-т д.13 к.1'!$D$9</definedName>
    <definedName name="_61h_F12">'Новоясеневский пр-т д.13 к.1'!$D$10</definedName>
    <definedName name="_61h_F13">'Новоясеневский пр-т д.13 к.1'!$D$11</definedName>
    <definedName name="_61h_F14">'Новоясеневский пр-т д.13 к.1'!$D$12</definedName>
    <definedName name="_61h_F15">'Новоясеневский пр-т д.13 к.1'!$D$13</definedName>
    <definedName name="_61h_F16">'Новоясеневский пр-т д.13 к.1'!$D$14</definedName>
    <definedName name="_61h_F17">'Новоясеневский пр-т д.13 к.1'!$D$15</definedName>
    <definedName name="_61h_F18">'Новоясеневский пр-т д.13 к.1'!$D$16</definedName>
    <definedName name="_61h_F19">'Новоясеневский пр-т д.13 к.1'!$D$17</definedName>
    <definedName name="_61h_F20">'Новоясеневский пр-т д.13 к.1'!$D$18</definedName>
    <definedName name="_61h_F21">'Новоясеневский пр-т д.13 к.1'!$D$19</definedName>
    <definedName name="_61h_F22">'Новоясеневский пр-т д.13 к.1'!$D$20</definedName>
    <definedName name="_61h_F23">'Новоясеневский пр-т д.13 к.1'!$D$21</definedName>
    <definedName name="_61h_F24">'Новоясеневский пр-т д.13 к.1'!$D$22</definedName>
    <definedName name="_61h_F25">'Новоясеневский пр-т д.13 к.1'!$D$23</definedName>
    <definedName name="_61h_F26">'Новоясеневский пр-т д.13 к.1'!$D$24</definedName>
    <definedName name="_61h_F27">'Новоясеневский пр-т д.13 к.1'!$D$25</definedName>
    <definedName name="_61h_F28">'Новоясеневский пр-т д.13 к.1'!$D$26</definedName>
    <definedName name="_61h_F29">'Новоясеневский пр-т д.13 к.1'!$D$27</definedName>
    <definedName name="_61h_F30">'Новоясеневский пр-т д.13 к.1'!$D$28</definedName>
    <definedName name="_61h_F31">'Новоясеневский пр-т д.13 к.1'!$D$29</definedName>
    <definedName name="_61h_F32">'Новоясеневский пр-т д.13 к.1'!$D$30</definedName>
    <definedName name="_61h_F33">'Новоясеневский пр-т д.13 к.1'!$D$31</definedName>
    <definedName name="_61h_F34">'Новоясеневский пр-т д.13 к.1'!$D$32</definedName>
    <definedName name="_61h_F35">'Новоясеневский пр-т д.13 к.1'!$D$33</definedName>
    <definedName name="_61h_F36">'Новоясеневский пр-т д.13 к.1'!$D$34</definedName>
    <definedName name="_61h_F37">'Новоясеневский пр-т д.13 к.1'!$D$35</definedName>
    <definedName name="_61h_F38">'Новоясеневский пр-т д.13 к.1'!$D$36</definedName>
    <definedName name="_61h_F39">'Новоясеневский пр-т д.13 к.1'!$D$37</definedName>
    <definedName name="_61h_F40">'Новоясеневский пр-т д.13 к.1'!$D$38</definedName>
    <definedName name="_61h_F41">'Новоясеневский пр-т д.13 к.1'!$D$39</definedName>
    <definedName name="_61h_F42">'Новоясеневский пр-т д.13 к.1'!$D$40</definedName>
    <definedName name="_61h_F43">'Новоясеневский пр-т д.13 к.1'!$D$41</definedName>
    <definedName name="_61h_F44">'Новоясеневский пр-т д.13 к.1'!$D$42</definedName>
    <definedName name="_61h_F45">'Новоясеневский пр-т д.13 к.1'!$D$43</definedName>
    <definedName name="_61h_F46">'Новоясеневский пр-т д.13 к.1'!$D$44</definedName>
    <definedName name="_61h_F47">'Новоясеневский пр-т д.13 к.1'!$D$45</definedName>
    <definedName name="_61h_F48">'Новоясеневский пр-т д.13 к.1'!$D$46</definedName>
    <definedName name="_61h_F49">'Новоясеневский пр-т д.13 к.1'!$D$47</definedName>
    <definedName name="_61h_F50">'Новоясеневский пр-т д.13 к.1'!$D$48</definedName>
    <definedName name="_61h_F51">'Новоясеневский пр-т д.13 к.1'!$D$49</definedName>
    <definedName name="_61h_F52">'Новоясеневский пр-т д.13 к.1'!#REF!</definedName>
    <definedName name="_61h_F53">'Новоясеневский пр-т д.13 к.1'!$D$50</definedName>
    <definedName name="_61h_F54">'Новоясеневский пр-т д.13 к.1'!$D$51</definedName>
    <definedName name="_61h_F55">'Новоясеневский пр-т д.13 к.1'!$D$52</definedName>
    <definedName name="_61h_F56">'Новоясеневский пр-т д.13 к.1'!$D$53</definedName>
    <definedName name="_61h_F57">'Новоясеневский пр-т д.13 к.1'!$D$54</definedName>
    <definedName name="_61h_F58">'Новоясеневский пр-т д.13 к.1'!$D$55</definedName>
    <definedName name="_61h_F59">'Новоясеневский пр-т д.13 к.1'!$D$56</definedName>
    <definedName name="_61h_F60">'Новоясеневский пр-т д.13 к.1'!$D$57</definedName>
    <definedName name="_61h_F61">'Новоясеневский пр-т д.13 к.1'!$D$58</definedName>
    <definedName name="_61h_F62">'Новоясеневский пр-т д.13 к.1'!$D$59</definedName>
    <definedName name="_61h_F63">'Новоясеневский пр-т д.13 к.1'!#REF!</definedName>
    <definedName name="_61h_F64">'Новоясеневский пр-т д.13 к.1'!$D$60</definedName>
    <definedName name="_61h_F65">'Новоясеневский пр-т д.13 к.1'!$D$61</definedName>
    <definedName name="_61h_F7">'Новоясеневский пр-т д.13 к.1'!$D$5</definedName>
    <definedName name="_61h_F8">'Новоясеневский пр-т д.13 к.1'!$D$6</definedName>
    <definedName name="_61h_F9">'Новоясеневский пр-т д.13 к.1'!$D$7</definedName>
    <definedName name="_62h_E10">'Н~ д.14 к.2 стр.п.5-8 ЖСК Ясень'!$C$8</definedName>
    <definedName name="_62h_E11">'Н~ д.14 к.2 стр.п.5-8 ЖСК Ясень'!$C$9</definedName>
    <definedName name="_62h_E12">'Н~ д.14 к.2 стр.п.5-8 ЖСК Ясень'!$C$10</definedName>
    <definedName name="_62h_E13">'Н~ д.14 к.2 стр.п.5-8 ЖСК Ясень'!$C$11</definedName>
    <definedName name="_62h_E14">'Н~ д.14 к.2 стр.п.5-8 ЖСК Ясень'!$C$12</definedName>
    <definedName name="_62h_E15">'Н~ д.14 к.2 стр.п.5-8 ЖСК Ясень'!$C$13</definedName>
    <definedName name="_62h_E16">'Н~ д.14 к.2 стр.п.5-8 ЖСК Ясень'!$C$14</definedName>
    <definedName name="_62h_E17">'Н~ д.14 к.2 стр.п.5-8 ЖСК Ясень'!$C$15</definedName>
    <definedName name="_62h_E18">'Н~ д.14 к.2 стр.п.5-8 ЖСК Ясень'!$C$16</definedName>
    <definedName name="_62h_E19">'Н~ д.14 к.2 стр.п.5-8 ЖСК Ясень'!$C$17</definedName>
    <definedName name="_62h_E20">'Н~ д.14 к.2 стр.п.5-8 ЖСК Ясень'!$C$18</definedName>
    <definedName name="_62h_E21">'Н~ д.14 к.2 стр.п.5-8 ЖСК Ясень'!$C$19</definedName>
    <definedName name="_62h_E22">'Н~ д.14 к.2 стр.п.5-8 ЖСК Ясень'!$C$20</definedName>
    <definedName name="_62h_E23">'Н~ д.14 к.2 стр.п.5-8 ЖСК Ясень'!$C$21</definedName>
    <definedName name="_62h_E24">'Н~ д.14 к.2 стр.п.5-8 ЖСК Ясень'!$C$22</definedName>
    <definedName name="_62h_E25">'Н~ д.14 к.2 стр.п.5-8 ЖСК Ясень'!$C$23</definedName>
    <definedName name="_62h_E26">'Н~ д.14 к.2 стр.п.5-8 ЖСК Ясень'!$C$24</definedName>
    <definedName name="_62h_E27">'Н~ д.14 к.2 стр.п.5-8 ЖСК Ясень'!$C$25</definedName>
    <definedName name="_62h_E28">'Н~ д.14 к.2 стр.п.5-8 ЖСК Ясень'!$C$26</definedName>
    <definedName name="_62h_E29">'Н~ д.14 к.2 стр.п.5-8 ЖСК Ясень'!$C$27</definedName>
    <definedName name="_62h_E30">'Н~ д.14 к.2 стр.п.5-8 ЖСК Ясень'!$C$28</definedName>
    <definedName name="_62h_E31">'Н~ д.14 к.2 стр.п.5-8 ЖСК Ясень'!$C$29</definedName>
    <definedName name="_62h_E32">'Н~ д.14 к.2 стр.п.5-8 ЖСК Ясень'!$C$30</definedName>
    <definedName name="_62h_E33">'Н~ д.14 к.2 стр.п.5-8 ЖСК Ясень'!$C$31</definedName>
    <definedName name="_62h_E34">'Н~ д.14 к.2 стр.п.5-8 ЖСК Ясень'!$C$32</definedName>
    <definedName name="_62h_E35">'Н~ д.14 к.2 стр.п.5-8 ЖСК Ясень'!$C$33</definedName>
    <definedName name="_62h_E36">'Н~ д.14 к.2 стр.п.5-8 ЖСК Ясень'!$C$34</definedName>
    <definedName name="_62h_E37">'Н~ д.14 к.2 стр.п.5-8 ЖСК Ясень'!$C$35</definedName>
    <definedName name="_62h_E38">'Н~ д.14 к.2 стр.п.5-8 ЖСК Ясень'!$C$36</definedName>
    <definedName name="_62h_E39">'Н~ д.14 к.2 стр.п.5-8 ЖСК Ясень'!$C$37</definedName>
    <definedName name="_62h_E40">'Н~ д.14 к.2 стр.п.5-8 ЖСК Ясень'!$C$38</definedName>
    <definedName name="_62h_E41">'Н~ д.14 к.2 стр.п.5-8 ЖСК Ясень'!$C$39</definedName>
    <definedName name="_62h_E42">'Н~ д.14 к.2 стр.п.5-8 ЖСК Ясень'!$C$40</definedName>
    <definedName name="_62h_E43">'Н~ д.14 к.2 стр.п.5-8 ЖСК Ясень'!$C$41</definedName>
    <definedName name="_62h_E44">'Н~ д.14 к.2 стр.п.5-8 ЖСК Ясень'!$C$42</definedName>
    <definedName name="_62h_E45">'Н~ д.14 к.2 стр.п.5-8 ЖСК Ясень'!$C$43</definedName>
    <definedName name="_62h_E46">'Н~ д.14 к.2 стр.п.5-8 ЖСК Ясень'!$C$44</definedName>
    <definedName name="_62h_E47">'Н~ д.14 к.2 стр.п.5-8 ЖСК Ясень'!$C$45</definedName>
    <definedName name="_62h_E48">'Н~ д.14 к.2 стр.п.5-8 ЖСК Ясень'!$C$46</definedName>
    <definedName name="_62h_E49">'Н~ д.14 к.2 стр.п.5-8 ЖСК Ясень'!$C$47</definedName>
    <definedName name="_62h_E50">'Н~ д.14 к.2 стр.п.5-8 ЖСК Ясень'!$C$48</definedName>
    <definedName name="_62h_E51">'Н~ д.14 к.2 стр.п.5-8 ЖСК Ясень'!$C$49</definedName>
    <definedName name="_62h_E52">'Н~ д.14 к.2 стр.п.5-8 ЖСК Ясень'!#REF!</definedName>
    <definedName name="_62h_E53">'Н~ д.14 к.2 стр.п.5-8 ЖСК Ясень'!$C$50</definedName>
    <definedName name="_62h_E54">'Н~ д.14 к.2 стр.п.5-8 ЖСК Ясень'!$C$51</definedName>
    <definedName name="_62h_E55">'Н~ д.14 к.2 стр.п.5-8 ЖСК Ясень'!$C$52</definedName>
    <definedName name="_62h_E56">'Н~ д.14 к.2 стр.п.5-8 ЖСК Ясень'!$C$53</definedName>
    <definedName name="_62h_E57">'Н~ д.14 к.2 стр.п.5-8 ЖСК Ясень'!$C$54</definedName>
    <definedName name="_62h_E58">'Н~ д.14 к.2 стр.п.5-8 ЖСК Ясень'!$C$55</definedName>
    <definedName name="_62h_E59">'Н~ д.14 к.2 стр.п.5-8 ЖСК Ясень'!$C$56</definedName>
    <definedName name="_62h_E60">'Н~ д.14 к.2 стр.п.5-8 ЖСК Ясень'!$C$57</definedName>
    <definedName name="_62h_E61">'Н~ д.14 к.2 стр.п.5-8 ЖСК Ясень'!$C$58</definedName>
    <definedName name="_62h_E62">'Н~ д.14 к.2 стр.п.5-8 ЖСК Ясень'!$C$59</definedName>
    <definedName name="_62h_E63">'Н~ д.14 к.2 стр.п.5-8 ЖСК Ясень'!#REF!</definedName>
    <definedName name="_62h_E64">'Н~ д.14 к.2 стр.п.5-8 ЖСК Ясень'!$C$60</definedName>
    <definedName name="_62h_E65">'Н~ д.14 к.2 стр.п.5-8 ЖСК Ясень'!$C$61</definedName>
    <definedName name="_62h_E7">'Н~ д.14 к.2 стр.п.5-8 ЖСК Ясень'!$C$5</definedName>
    <definedName name="_62h_E8">'Н~ д.14 к.2 стр.п.5-8 ЖСК Ясень'!$C$6</definedName>
    <definedName name="_62h_E9">'Н~ д.14 к.2 стр.п.5-8 ЖСК Ясень'!$C$7</definedName>
    <definedName name="_62h_F10">'Н~ д.14 к.2 стр.п.5-8 ЖСК Ясень'!$D$8</definedName>
    <definedName name="_62h_F11">'Н~ д.14 к.2 стр.п.5-8 ЖСК Ясень'!$D$9</definedName>
    <definedName name="_62h_F12">'Н~ д.14 к.2 стр.п.5-8 ЖСК Ясень'!$D$10</definedName>
    <definedName name="_62h_F13">'Н~ д.14 к.2 стр.п.5-8 ЖСК Ясень'!$D$11</definedName>
    <definedName name="_62h_F14">'Н~ д.14 к.2 стр.п.5-8 ЖСК Ясень'!$D$12</definedName>
    <definedName name="_62h_F15">'Н~ д.14 к.2 стр.п.5-8 ЖСК Ясень'!$D$13</definedName>
    <definedName name="_62h_F16">'Н~ д.14 к.2 стр.п.5-8 ЖСК Ясень'!$D$14</definedName>
    <definedName name="_62h_F17">'Н~ д.14 к.2 стр.п.5-8 ЖСК Ясень'!$D$15</definedName>
    <definedName name="_62h_F18">'Н~ д.14 к.2 стр.п.5-8 ЖСК Ясень'!$D$16</definedName>
    <definedName name="_62h_F19">'Н~ д.14 к.2 стр.п.5-8 ЖСК Ясень'!$D$17</definedName>
    <definedName name="_62h_F20">'Н~ д.14 к.2 стр.п.5-8 ЖСК Ясень'!$D$18</definedName>
    <definedName name="_62h_F21">'Н~ д.14 к.2 стр.п.5-8 ЖСК Ясень'!$D$19</definedName>
    <definedName name="_62h_F22">'Н~ д.14 к.2 стр.п.5-8 ЖСК Ясень'!$D$20</definedName>
    <definedName name="_62h_F23">'Н~ д.14 к.2 стр.п.5-8 ЖСК Ясень'!$D$21</definedName>
    <definedName name="_62h_F24">'Н~ д.14 к.2 стр.п.5-8 ЖСК Ясень'!$D$22</definedName>
    <definedName name="_62h_F25">'Н~ д.14 к.2 стр.п.5-8 ЖСК Ясень'!$D$23</definedName>
    <definedName name="_62h_F26">'Н~ д.14 к.2 стр.п.5-8 ЖСК Ясень'!$D$24</definedName>
    <definedName name="_62h_F27">'Н~ д.14 к.2 стр.п.5-8 ЖСК Ясень'!$D$25</definedName>
    <definedName name="_62h_F28">'Н~ д.14 к.2 стр.п.5-8 ЖСК Ясень'!$D$26</definedName>
    <definedName name="_62h_F29">'Н~ д.14 к.2 стр.п.5-8 ЖСК Ясень'!$D$27</definedName>
    <definedName name="_62h_F30">'Н~ д.14 к.2 стр.п.5-8 ЖСК Ясень'!$D$28</definedName>
    <definedName name="_62h_F31">'Н~ д.14 к.2 стр.п.5-8 ЖСК Ясень'!$D$29</definedName>
    <definedName name="_62h_F32">'Н~ д.14 к.2 стр.п.5-8 ЖСК Ясень'!$D$30</definedName>
    <definedName name="_62h_F33">'Н~ д.14 к.2 стр.п.5-8 ЖСК Ясень'!$D$31</definedName>
    <definedName name="_62h_F34">'Н~ д.14 к.2 стр.п.5-8 ЖСК Ясень'!$D$32</definedName>
    <definedName name="_62h_F35">'Н~ д.14 к.2 стр.п.5-8 ЖСК Ясень'!$D$33</definedName>
    <definedName name="_62h_F36">'Н~ д.14 к.2 стр.п.5-8 ЖСК Ясень'!$D$34</definedName>
    <definedName name="_62h_F37">'Н~ д.14 к.2 стр.п.5-8 ЖСК Ясень'!$D$35</definedName>
    <definedName name="_62h_F38">'Н~ д.14 к.2 стр.п.5-8 ЖСК Ясень'!$D$36</definedName>
    <definedName name="_62h_F39">'Н~ д.14 к.2 стр.п.5-8 ЖСК Ясень'!$D$37</definedName>
    <definedName name="_62h_F40">'Н~ д.14 к.2 стр.п.5-8 ЖСК Ясень'!$D$38</definedName>
    <definedName name="_62h_F41">'Н~ д.14 к.2 стр.п.5-8 ЖСК Ясень'!$D$39</definedName>
    <definedName name="_62h_F42">'Н~ д.14 к.2 стр.п.5-8 ЖСК Ясень'!$D$40</definedName>
    <definedName name="_62h_F43">'Н~ д.14 к.2 стр.п.5-8 ЖСК Ясень'!$D$41</definedName>
    <definedName name="_62h_F44">'Н~ д.14 к.2 стр.п.5-8 ЖСК Ясень'!$D$42</definedName>
    <definedName name="_62h_F45">'Н~ д.14 к.2 стр.п.5-8 ЖСК Ясень'!$D$43</definedName>
    <definedName name="_62h_F46">'Н~ д.14 к.2 стр.п.5-8 ЖСК Ясень'!$D$44</definedName>
    <definedName name="_62h_F47">'Н~ д.14 к.2 стр.п.5-8 ЖСК Ясень'!$D$45</definedName>
    <definedName name="_62h_F48">'Н~ д.14 к.2 стр.п.5-8 ЖСК Ясень'!$D$46</definedName>
    <definedName name="_62h_F49">'Н~ д.14 к.2 стр.п.5-8 ЖСК Ясень'!$D$47</definedName>
    <definedName name="_62h_F50">'Н~ д.14 к.2 стр.п.5-8 ЖСК Ясень'!$D$48</definedName>
    <definedName name="_62h_F51">'Н~ д.14 к.2 стр.п.5-8 ЖСК Ясень'!$D$49</definedName>
    <definedName name="_62h_F52">'Н~ д.14 к.2 стр.п.5-8 ЖСК Ясень'!#REF!</definedName>
    <definedName name="_62h_F53">'Н~ д.14 к.2 стр.п.5-8 ЖСК Ясень'!$D$50</definedName>
    <definedName name="_62h_F54">'Н~ д.14 к.2 стр.п.5-8 ЖСК Ясень'!$D$51</definedName>
    <definedName name="_62h_F55">'Н~ д.14 к.2 стр.п.5-8 ЖСК Ясень'!$D$52</definedName>
    <definedName name="_62h_F56">'Н~ д.14 к.2 стр.п.5-8 ЖСК Ясень'!$D$53</definedName>
    <definedName name="_62h_F57">'Н~ д.14 к.2 стр.п.5-8 ЖСК Ясень'!$D$54</definedName>
    <definedName name="_62h_F58">'Н~ д.14 к.2 стр.п.5-8 ЖСК Ясень'!$D$55</definedName>
    <definedName name="_62h_F59">'Н~ д.14 к.2 стр.п.5-8 ЖСК Ясень'!$D$56</definedName>
    <definedName name="_62h_F60">'Н~ д.14 к.2 стр.п.5-8 ЖСК Ясень'!$D$57</definedName>
    <definedName name="_62h_F61">'Н~ д.14 к.2 стр.п.5-8 ЖСК Ясень'!$D$58</definedName>
    <definedName name="_62h_F62">'Н~ д.14 к.2 стр.п.5-8 ЖСК Ясень'!$D$59</definedName>
    <definedName name="_62h_F63">'Н~ д.14 к.2 стр.п.5-8 ЖСК Ясень'!#REF!</definedName>
    <definedName name="_62h_F64">'Н~ д.14 к.2 стр.п.5-8 ЖСК Ясень'!$D$60</definedName>
    <definedName name="_62h_F65">'Н~ д.14 к.2 стр.п.5-8 ЖСК Ясень'!$D$61</definedName>
    <definedName name="_62h_F7">'Н~ д.14 к.2 стр.п.5-8 ЖСК Ясень'!$D$5</definedName>
    <definedName name="_62h_F8">'Н~ д.14 к.2 стр.п.5-8 ЖСК Ясень'!$D$6</definedName>
    <definedName name="_62h_F9">'Н~ д.14 к.2 стр.п.5-8 ЖСК Ясень'!$D$7</definedName>
    <definedName name="_63h_E10">'Новояс~ д.14 к.2 стр.п.9-10 '!$C$8</definedName>
    <definedName name="_63h_E11">'Новояс~ д.14 к.2 стр.п.9-10 '!$C$9</definedName>
    <definedName name="_63h_E12">'Новояс~ д.14 к.2 стр.п.9-10 '!$C$10</definedName>
    <definedName name="_63h_E13">'Новояс~ д.14 к.2 стр.п.9-10 '!$C$11</definedName>
    <definedName name="_63h_E14">'Новояс~ д.14 к.2 стр.п.9-10 '!$C$12</definedName>
    <definedName name="_63h_E15">'Новояс~ д.14 к.2 стр.п.9-10 '!$C$13</definedName>
    <definedName name="_63h_E16">'Новояс~ д.14 к.2 стр.п.9-10 '!$C$14</definedName>
    <definedName name="_63h_E17">'Новояс~ д.14 к.2 стр.п.9-10 '!$C$15</definedName>
    <definedName name="_63h_E18">'Новояс~ д.14 к.2 стр.п.9-10 '!$C$16</definedName>
    <definedName name="_63h_E19">'Новояс~ д.14 к.2 стр.п.9-10 '!$C$17</definedName>
    <definedName name="_63h_E20">'Новояс~ д.14 к.2 стр.п.9-10 '!$C$18</definedName>
    <definedName name="_63h_E21">'Новояс~ д.14 к.2 стр.п.9-10 '!$C$19</definedName>
    <definedName name="_63h_E22">'Новояс~ д.14 к.2 стр.п.9-10 '!$C$20</definedName>
    <definedName name="_63h_E23">'Новояс~ д.14 к.2 стр.п.9-10 '!$C$21</definedName>
    <definedName name="_63h_E24">'Новояс~ д.14 к.2 стр.п.9-10 '!$C$22</definedName>
    <definedName name="_63h_E25">'Новояс~ д.14 к.2 стр.п.9-10 '!$C$23</definedName>
    <definedName name="_63h_E26">'Новояс~ д.14 к.2 стр.п.9-10 '!$C$24</definedName>
    <definedName name="_63h_E27">'Новояс~ д.14 к.2 стр.п.9-10 '!$C$25</definedName>
    <definedName name="_63h_E28">'Новояс~ д.14 к.2 стр.п.9-10 '!$C$26</definedName>
    <definedName name="_63h_E29">'Новояс~ д.14 к.2 стр.п.9-10 '!$C$27</definedName>
    <definedName name="_63h_E30">'Новояс~ д.14 к.2 стр.п.9-10 '!$C$28</definedName>
    <definedName name="_63h_E31">'Новояс~ д.14 к.2 стр.п.9-10 '!$C$29</definedName>
    <definedName name="_63h_E32">'Новояс~ д.14 к.2 стр.п.9-10 '!$C$30</definedName>
    <definedName name="_63h_E33">'Новояс~ д.14 к.2 стр.п.9-10 '!$C$31</definedName>
    <definedName name="_63h_E34">'Новояс~ д.14 к.2 стр.п.9-10 '!$C$32</definedName>
    <definedName name="_63h_E35">'Новояс~ д.14 к.2 стр.п.9-10 '!$C$33</definedName>
    <definedName name="_63h_E36">'Новояс~ д.14 к.2 стр.п.9-10 '!$C$34</definedName>
    <definedName name="_63h_E37">'Новояс~ д.14 к.2 стр.п.9-10 '!$C$35</definedName>
    <definedName name="_63h_E38">'Новояс~ д.14 к.2 стр.п.9-10 '!$C$36</definedName>
    <definedName name="_63h_E39">'Новояс~ д.14 к.2 стр.п.9-10 '!$C$37</definedName>
    <definedName name="_63h_E40">'Новояс~ д.14 к.2 стр.п.9-10 '!$C$38</definedName>
    <definedName name="_63h_E41">'Новояс~ д.14 к.2 стр.п.9-10 '!$C$39</definedName>
    <definedName name="_63h_E42">'Новояс~ д.14 к.2 стр.п.9-10 '!$C$40</definedName>
    <definedName name="_63h_E43">'Новояс~ д.14 к.2 стр.п.9-10 '!$C$41</definedName>
    <definedName name="_63h_E44">'Новояс~ д.14 к.2 стр.п.9-10 '!$C$42</definedName>
    <definedName name="_63h_E45">'Новояс~ д.14 к.2 стр.п.9-10 '!$C$43</definedName>
    <definedName name="_63h_E46">'Новояс~ д.14 к.2 стр.п.9-10 '!$C$44</definedName>
    <definedName name="_63h_E47">'Новояс~ д.14 к.2 стр.п.9-10 '!$C$45</definedName>
    <definedName name="_63h_E48">'Новояс~ д.14 к.2 стр.п.9-10 '!$C$46</definedName>
    <definedName name="_63h_E49">'Новояс~ д.14 к.2 стр.п.9-10 '!$C$47</definedName>
    <definedName name="_63h_E50">'Новояс~ д.14 к.2 стр.п.9-10 '!$C$48</definedName>
    <definedName name="_63h_E51">'Новояс~ д.14 к.2 стр.п.9-10 '!$C$49</definedName>
    <definedName name="_63h_E52">'Новояс~ д.14 к.2 стр.п.9-10 '!#REF!</definedName>
    <definedName name="_63h_E53">'Новояс~ д.14 к.2 стр.п.9-10 '!$C$50</definedName>
    <definedName name="_63h_E54">'Новояс~ д.14 к.2 стр.п.9-10 '!$C$51</definedName>
    <definedName name="_63h_E55">'Новояс~ д.14 к.2 стр.п.9-10 '!$C$52</definedName>
    <definedName name="_63h_E56">'Новояс~ д.14 к.2 стр.п.9-10 '!$C$53</definedName>
    <definedName name="_63h_E57">'Новояс~ д.14 к.2 стр.п.9-10 '!$C$54</definedName>
    <definedName name="_63h_E58">'Новояс~ д.14 к.2 стр.п.9-10 '!$C$55</definedName>
    <definedName name="_63h_E59">'Новояс~ д.14 к.2 стр.п.9-10 '!$C$56</definedName>
    <definedName name="_63h_E60">'Новояс~ д.14 к.2 стр.п.9-10 '!$C$57</definedName>
    <definedName name="_63h_E61">'Новояс~ д.14 к.2 стр.п.9-10 '!$C$58</definedName>
    <definedName name="_63h_E62">'Новояс~ д.14 к.2 стр.п.9-10 '!$C$59</definedName>
    <definedName name="_63h_E63">'Новояс~ д.14 к.2 стр.п.9-10 '!#REF!</definedName>
    <definedName name="_63h_E64">'Новояс~ д.14 к.2 стр.п.9-10 '!$C$60</definedName>
    <definedName name="_63h_E65">'Новояс~ д.14 к.2 стр.п.9-10 '!$C$61</definedName>
    <definedName name="_63h_E7">'Новояс~ д.14 к.2 стр.п.9-10 '!$C$5</definedName>
    <definedName name="_63h_E8">'Новояс~ д.14 к.2 стр.п.9-10 '!$C$6</definedName>
    <definedName name="_63h_E9">'Новояс~ д.14 к.2 стр.п.9-10 '!$C$7</definedName>
    <definedName name="_63h_F10">'Новояс~ д.14 к.2 стр.п.9-10 '!$D$8</definedName>
    <definedName name="_63h_F11">'Новояс~ д.14 к.2 стр.п.9-10 '!$D$9</definedName>
    <definedName name="_63h_F12">'Новояс~ д.14 к.2 стр.п.9-10 '!$D$10</definedName>
    <definedName name="_63h_F13">'Новояс~ д.14 к.2 стр.п.9-10 '!$D$11</definedName>
    <definedName name="_63h_F14">'Новояс~ д.14 к.2 стр.п.9-10 '!$D$12</definedName>
    <definedName name="_63h_F15">'Новояс~ д.14 к.2 стр.п.9-10 '!$D$13</definedName>
    <definedName name="_63h_F16">'Новояс~ д.14 к.2 стр.п.9-10 '!$D$14</definedName>
    <definedName name="_63h_F17">'Новояс~ д.14 к.2 стр.п.9-10 '!$D$15</definedName>
    <definedName name="_63h_F18">'Новояс~ д.14 к.2 стр.п.9-10 '!$D$16</definedName>
    <definedName name="_63h_F19">'Новояс~ д.14 к.2 стр.п.9-10 '!$D$17</definedName>
    <definedName name="_63h_F20">'Новояс~ д.14 к.2 стр.п.9-10 '!$D$18</definedName>
    <definedName name="_63h_F21">'Новояс~ д.14 к.2 стр.п.9-10 '!$D$19</definedName>
    <definedName name="_63h_F22">'Новояс~ д.14 к.2 стр.п.9-10 '!$D$20</definedName>
    <definedName name="_63h_F23">'Новояс~ д.14 к.2 стр.п.9-10 '!$D$21</definedName>
    <definedName name="_63h_F24">'Новояс~ д.14 к.2 стр.п.9-10 '!$D$22</definedName>
    <definedName name="_63h_F25">'Новояс~ д.14 к.2 стр.п.9-10 '!$D$23</definedName>
    <definedName name="_63h_F26">'Новояс~ д.14 к.2 стр.п.9-10 '!$D$24</definedName>
    <definedName name="_63h_F27">'Новояс~ д.14 к.2 стр.п.9-10 '!$D$25</definedName>
    <definedName name="_63h_F28">'Новояс~ д.14 к.2 стр.п.9-10 '!$D$26</definedName>
    <definedName name="_63h_F29">'Новояс~ д.14 к.2 стр.п.9-10 '!$D$27</definedName>
    <definedName name="_63h_F30">'Новояс~ д.14 к.2 стр.п.9-10 '!$D$28</definedName>
    <definedName name="_63h_F31">'Новояс~ д.14 к.2 стр.п.9-10 '!$D$29</definedName>
    <definedName name="_63h_F32">'Новояс~ д.14 к.2 стр.п.9-10 '!$D$30</definedName>
    <definedName name="_63h_F33">'Новояс~ д.14 к.2 стр.п.9-10 '!$D$31</definedName>
    <definedName name="_63h_F34">'Новояс~ д.14 к.2 стр.п.9-10 '!$D$32</definedName>
    <definedName name="_63h_F35">'Новояс~ д.14 к.2 стр.п.9-10 '!$D$33</definedName>
    <definedName name="_63h_F36">'Новояс~ д.14 к.2 стр.п.9-10 '!$D$34</definedName>
    <definedName name="_63h_F37">'Новояс~ д.14 к.2 стр.п.9-10 '!$D$35</definedName>
    <definedName name="_63h_F38">'Новояс~ д.14 к.2 стр.п.9-10 '!$D$36</definedName>
    <definedName name="_63h_F39">'Новояс~ д.14 к.2 стр.п.9-10 '!$D$37</definedName>
    <definedName name="_63h_F40">'Новояс~ д.14 к.2 стр.п.9-10 '!$D$38</definedName>
    <definedName name="_63h_F41">'Новояс~ д.14 к.2 стр.п.9-10 '!$D$39</definedName>
    <definedName name="_63h_F42">'Новояс~ д.14 к.2 стр.п.9-10 '!$D$40</definedName>
    <definedName name="_63h_F43">'Новояс~ д.14 к.2 стр.п.9-10 '!$D$41</definedName>
    <definedName name="_63h_F44">'Новояс~ д.14 к.2 стр.п.9-10 '!$D$42</definedName>
    <definedName name="_63h_F45">'Новояс~ д.14 к.2 стр.п.9-10 '!$D$43</definedName>
    <definedName name="_63h_F46">'Новояс~ д.14 к.2 стр.п.9-10 '!$D$44</definedName>
    <definedName name="_63h_F47">'Новояс~ д.14 к.2 стр.п.9-10 '!$D$45</definedName>
    <definedName name="_63h_F48">'Новояс~ д.14 к.2 стр.п.9-10 '!$D$46</definedName>
    <definedName name="_63h_F49">'Новояс~ д.14 к.2 стр.п.9-10 '!$D$47</definedName>
    <definedName name="_63h_F50">'Новояс~ д.14 к.2 стр.п.9-10 '!$D$48</definedName>
    <definedName name="_63h_F51">'Новояс~ д.14 к.2 стр.п.9-10 '!$D$49</definedName>
    <definedName name="_63h_F52">'Новояс~ д.14 к.2 стр.п.9-10 '!#REF!</definedName>
    <definedName name="_63h_F53">'Новояс~ д.14 к.2 стр.п.9-10 '!$D$50</definedName>
    <definedName name="_63h_F54">'Новояс~ д.14 к.2 стр.п.9-10 '!$D$51</definedName>
    <definedName name="_63h_F55">'Новояс~ д.14 к.2 стр.п.9-10 '!$D$52</definedName>
    <definedName name="_63h_F56">'Новояс~ д.14 к.2 стр.п.9-10 '!$D$53</definedName>
    <definedName name="_63h_F57">'Новояс~ д.14 к.2 стр.п.9-10 '!$D$54</definedName>
    <definedName name="_63h_F58">'Новояс~ д.14 к.2 стр.п.9-10 '!$D$55</definedName>
    <definedName name="_63h_F59">'Новояс~ д.14 к.2 стр.п.9-10 '!$D$56</definedName>
    <definedName name="_63h_F60">'Новояс~ д.14 к.2 стр.п.9-10 '!$D$57</definedName>
    <definedName name="_63h_F61">'Новояс~ д.14 к.2 стр.п.9-10 '!$D$58</definedName>
    <definedName name="_63h_F62">'Новояс~ д.14 к.2 стр.п.9-10 '!$D$59</definedName>
    <definedName name="_63h_F63">'Новояс~ д.14 к.2 стр.п.9-10 '!#REF!</definedName>
    <definedName name="_63h_F64">'Новояс~ д.14 к.2 стр.п.9-10 '!$D$60</definedName>
    <definedName name="_63h_F65">'Новояс~ д.14 к.2 стр.п.9-10 '!$D$61</definedName>
    <definedName name="_63h_F7">'Новояс~ д.14 к.2 стр.п.9-10 '!$D$5</definedName>
    <definedName name="_63h_F8">'Новояс~ д.14 к.2 стр.п.9-10 '!$D$6</definedName>
    <definedName name="_63h_F9">'Новояс~ д.14 к.2 стр.п.9-10 '!$D$7</definedName>
    <definedName name="_64h_E10">'Новоясеневский пр-т д.16 к.1'!$C$8</definedName>
    <definedName name="_64h_E11">'Новоясеневский пр-т д.16 к.1'!$C$9</definedName>
    <definedName name="_64h_E12">'Новоясеневский пр-т д.16 к.1'!$C$10</definedName>
    <definedName name="_64h_E13">'Новоясеневский пр-т д.16 к.1'!$C$11</definedName>
    <definedName name="_64h_E14">'Новоясеневский пр-т д.16 к.1'!$C$12</definedName>
    <definedName name="_64h_E15">'Новоясеневский пр-т д.16 к.1'!$C$13</definedName>
    <definedName name="_64h_E16">'Новоясеневский пр-т д.16 к.1'!$C$14</definedName>
    <definedName name="_64h_E17">'Новоясеневский пр-т д.16 к.1'!$C$15</definedName>
    <definedName name="_64h_E18">'Новоясеневский пр-т д.16 к.1'!$C$16</definedName>
    <definedName name="_64h_E19">'Новоясеневский пр-т д.16 к.1'!$C$17</definedName>
    <definedName name="_64h_E20">'Новоясеневский пр-т д.16 к.1'!$C$18</definedName>
    <definedName name="_64h_E21">'Новоясеневский пр-т д.16 к.1'!$C$19</definedName>
    <definedName name="_64h_E22">'Новоясеневский пр-т д.16 к.1'!$C$20</definedName>
    <definedName name="_64h_E23">'Новоясеневский пр-т д.16 к.1'!$C$21</definedName>
    <definedName name="_64h_E24">'Новоясеневский пр-т д.16 к.1'!$C$22</definedName>
    <definedName name="_64h_E25">'Новоясеневский пр-т д.16 к.1'!$C$23</definedName>
    <definedName name="_64h_E26">'Новоясеневский пр-т д.16 к.1'!$C$24</definedName>
    <definedName name="_64h_E27">'Новоясеневский пр-т д.16 к.1'!$C$25</definedName>
    <definedName name="_64h_E28">'Новоясеневский пр-т д.16 к.1'!$C$26</definedName>
    <definedName name="_64h_E29">'Новоясеневский пр-т д.16 к.1'!$C$27</definedName>
    <definedName name="_64h_E30">'Новоясеневский пр-т д.16 к.1'!$C$28</definedName>
    <definedName name="_64h_E31">'Новоясеневский пр-т д.16 к.1'!$C$29</definedName>
    <definedName name="_64h_E32">'Новоясеневский пр-т д.16 к.1'!$C$30</definedName>
    <definedName name="_64h_E33">'Новоясеневский пр-т д.16 к.1'!$C$31</definedName>
    <definedName name="_64h_E34">'Новоясеневский пр-т д.16 к.1'!$C$32</definedName>
    <definedName name="_64h_E35">'Новоясеневский пр-т д.16 к.1'!$C$33</definedName>
    <definedName name="_64h_E36">'Новоясеневский пр-т д.16 к.1'!$C$34</definedName>
    <definedName name="_64h_E37">'Новоясеневский пр-т д.16 к.1'!$C$35</definedName>
    <definedName name="_64h_E38">'Новоясеневский пр-т д.16 к.1'!$C$36</definedName>
    <definedName name="_64h_E39">'Новоясеневский пр-т д.16 к.1'!$C$37</definedName>
    <definedName name="_64h_E40">'Новоясеневский пр-т д.16 к.1'!$C$38</definedName>
    <definedName name="_64h_E41">'Новоясеневский пр-т д.16 к.1'!$C$39</definedName>
    <definedName name="_64h_E42">'Новоясеневский пр-т д.16 к.1'!$C$40</definedName>
    <definedName name="_64h_E43">'Новоясеневский пр-т д.16 к.1'!$C$41</definedName>
    <definedName name="_64h_E44">'Новоясеневский пр-т д.16 к.1'!$C$42</definedName>
    <definedName name="_64h_E45">'Новоясеневский пр-т д.16 к.1'!$C$43</definedName>
    <definedName name="_64h_E46">'Новоясеневский пр-т д.16 к.1'!$C$44</definedName>
    <definedName name="_64h_E47">'Новоясеневский пр-т д.16 к.1'!$C$45</definedName>
    <definedName name="_64h_E48">'Новоясеневский пр-т д.16 к.1'!$C$46</definedName>
    <definedName name="_64h_E49">'Новоясеневский пр-т д.16 к.1'!$C$47</definedName>
    <definedName name="_64h_E50">'Новоясеневский пр-т д.16 к.1'!$C$48</definedName>
    <definedName name="_64h_E51">'Новоясеневский пр-т д.16 к.1'!$C$49</definedName>
    <definedName name="_64h_E52">'Новоясеневский пр-т д.16 к.1'!#REF!</definedName>
    <definedName name="_64h_E53">'Новоясеневский пр-т д.16 к.1'!$C$50</definedName>
    <definedName name="_64h_E54">'Новоясеневский пр-т д.16 к.1'!$C$51</definedName>
    <definedName name="_64h_E55">'Новоясеневский пр-т д.16 к.1'!$C$52</definedName>
    <definedName name="_64h_E56">'Новоясеневский пр-т д.16 к.1'!$C$53</definedName>
    <definedName name="_64h_E57">'Новоясеневский пр-т д.16 к.1'!$C$54</definedName>
    <definedName name="_64h_E58">'Новоясеневский пр-т д.16 к.1'!$C$55</definedName>
    <definedName name="_64h_E59">'Новоясеневский пр-т д.16 к.1'!$C$56</definedName>
    <definedName name="_64h_E60">'Новоясеневский пр-т д.16 к.1'!$C$57</definedName>
    <definedName name="_64h_E61">'Новоясеневский пр-т д.16 к.1'!$C$58</definedName>
    <definedName name="_64h_E62">'Новоясеневский пр-т д.16 к.1'!$C$59</definedName>
    <definedName name="_64h_E63">'Новоясеневский пр-т д.16 к.1'!#REF!</definedName>
    <definedName name="_64h_E64">'Новоясеневский пр-т д.16 к.1'!$C$60</definedName>
    <definedName name="_64h_E65">'Новоясеневский пр-т д.16 к.1'!$C$61</definedName>
    <definedName name="_64h_E7">'Новоясеневский пр-т д.16 к.1'!$C$5</definedName>
    <definedName name="_64h_E8">'Новоясеневский пр-т д.16 к.1'!$C$6</definedName>
    <definedName name="_64h_E9">'Новоясеневский пр-т д.16 к.1'!$C$7</definedName>
    <definedName name="_64h_F10">'Новоясеневский пр-т д.16 к.1'!$D$8</definedName>
    <definedName name="_64h_F11">'Новоясеневский пр-т д.16 к.1'!$D$9</definedName>
    <definedName name="_64h_F12">'Новоясеневский пр-т д.16 к.1'!$D$10</definedName>
    <definedName name="_64h_F13">'Новоясеневский пр-т д.16 к.1'!$D$11</definedName>
    <definedName name="_64h_F14">'Новоясеневский пр-т д.16 к.1'!$D$12</definedName>
    <definedName name="_64h_F15">'Новоясеневский пр-т д.16 к.1'!$D$13</definedName>
    <definedName name="_64h_F16">'Новоясеневский пр-т д.16 к.1'!$D$14</definedName>
    <definedName name="_64h_F17">'Новоясеневский пр-т д.16 к.1'!$D$15</definedName>
    <definedName name="_64h_F18">'Новоясеневский пр-т д.16 к.1'!$D$16</definedName>
    <definedName name="_64h_F19">'Новоясеневский пр-т д.16 к.1'!$D$17</definedName>
    <definedName name="_64h_F20">'Новоясеневский пр-т д.16 к.1'!$D$18</definedName>
    <definedName name="_64h_F21">'Новоясеневский пр-т д.16 к.1'!$D$19</definedName>
    <definedName name="_64h_F22">'Новоясеневский пр-т д.16 к.1'!$D$20</definedName>
    <definedName name="_64h_F23">'Новоясеневский пр-т д.16 к.1'!$D$21</definedName>
    <definedName name="_64h_F24">'Новоясеневский пр-т д.16 к.1'!$D$22</definedName>
    <definedName name="_64h_F25">'Новоясеневский пр-т д.16 к.1'!$D$23</definedName>
    <definedName name="_64h_F26">'Новоясеневский пр-т д.16 к.1'!$D$24</definedName>
    <definedName name="_64h_F27">'Новоясеневский пр-т д.16 к.1'!$D$25</definedName>
    <definedName name="_64h_F28">'Новоясеневский пр-т д.16 к.1'!$D$26</definedName>
    <definedName name="_64h_F29">'Новоясеневский пр-т д.16 к.1'!$D$27</definedName>
    <definedName name="_64h_F30">'Новоясеневский пр-т д.16 к.1'!$D$28</definedName>
    <definedName name="_64h_F31">'Новоясеневский пр-т д.16 к.1'!$D$29</definedName>
    <definedName name="_64h_F32">'Новоясеневский пр-т д.16 к.1'!$D$30</definedName>
    <definedName name="_64h_F33">'Новоясеневский пр-т д.16 к.1'!$D$31</definedName>
    <definedName name="_64h_F34">'Новоясеневский пр-т д.16 к.1'!$D$32</definedName>
    <definedName name="_64h_F35">'Новоясеневский пр-т д.16 к.1'!$D$33</definedName>
    <definedName name="_64h_F36">'Новоясеневский пр-т д.16 к.1'!$D$34</definedName>
    <definedName name="_64h_F37">'Новоясеневский пр-т д.16 к.1'!$D$35</definedName>
    <definedName name="_64h_F38">'Новоясеневский пр-т д.16 к.1'!$D$36</definedName>
    <definedName name="_64h_F39">'Новоясеневский пр-т д.16 к.1'!$D$37</definedName>
    <definedName name="_64h_F40">'Новоясеневский пр-т д.16 к.1'!$D$38</definedName>
    <definedName name="_64h_F41">'Новоясеневский пр-т д.16 к.1'!$D$39</definedName>
    <definedName name="_64h_F42">'Новоясеневский пр-т д.16 к.1'!$D$40</definedName>
    <definedName name="_64h_F43">'Новоясеневский пр-т д.16 к.1'!$D$41</definedName>
    <definedName name="_64h_F44">'Новоясеневский пр-т д.16 к.1'!$D$42</definedName>
    <definedName name="_64h_F45">'Новоясеневский пр-т д.16 к.1'!$D$43</definedName>
    <definedName name="_64h_F46">'Новоясеневский пр-т д.16 к.1'!$D$44</definedName>
    <definedName name="_64h_F47">'Новоясеневский пр-т д.16 к.1'!$D$45</definedName>
    <definedName name="_64h_F48">'Новоясеневский пр-т д.16 к.1'!$D$46</definedName>
    <definedName name="_64h_F49">'Новоясеневский пр-т д.16 к.1'!$D$47</definedName>
    <definedName name="_64h_F50">'Новоясеневский пр-т д.16 к.1'!$D$48</definedName>
    <definedName name="_64h_F51">'Новоясеневский пр-т д.16 к.1'!$D$49</definedName>
    <definedName name="_64h_F52">'Новоясеневский пр-т д.16 к.1'!#REF!</definedName>
    <definedName name="_64h_F53">'Новоясеневский пр-т д.16 к.1'!$D$50</definedName>
    <definedName name="_64h_F54">'Новоясеневский пр-т д.16 к.1'!$D$51</definedName>
    <definedName name="_64h_F55">'Новоясеневский пр-т д.16 к.1'!$D$52</definedName>
    <definedName name="_64h_F56">'Новоясеневский пр-т д.16 к.1'!$D$53</definedName>
    <definedName name="_64h_F57">'Новоясеневский пр-т д.16 к.1'!$D$54</definedName>
    <definedName name="_64h_F58">'Новоясеневский пр-т д.16 к.1'!$D$55</definedName>
    <definedName name="_64h_F59">'Новоясеневский пр-т д.16 к.1'!$D$56</definedName>
    <definedName name="_64h_F60">'Новоясеневский пр-т д.16 к.1'!$D$57</definedName>
    <definedName name="_64h_F61">'Новоясеневский пр-т д.16 к.1'!$D$58</definedName>
    <definedName name="_64h_F62">'Новоясеневский пр-т д.16 к.1'!$D$59</definedName>
    <definedName name="_64h_F63">'Новоясеневский пр-т д.16 к.1'!#REF!</definedName>
    <definedName name="_64h_F64">'Новоясеневский пр-т д.16 к.1'!$D$60</definedName>
    <definedName name="_64h_F65">'Новоясеневский пр-т д.16 к.1'!$D$61</definedName>
    <definedName name="_64h_F7">'Новоясеневский пр-т д.16 к.1'!$D$5</definedName>
    <definedName name="_64h_F8">'Новоясеневский пр-т д.16 к.1'!$D$6</definedName>
    <definedName name="_64h_F9">'Новоясеневский пр-т д.16 к.1'!$D$7</definedName>
    <definedName name="_65h_E10">'Новоясеневский пр-т д.17|50'!$C$8</definedName>
    <definedName name="_65h_E11">'Новоясеневский пр-т д.17|50'!$C$9</definedName>
    <definedName name="_65h_E12">'Новоясеневский пр-т д.17|50'!$C$10</definedName>
    <definedName name="_65h_E13">'Новоясеневский пр-т д.17|50'!$C$11</definedName>
    <definedName name="_65h_E14">'Новоясеневский пр-т д.17|50'!$C$12</definedName>
    <definedName name="_65h_E15">'Новоясеневский пр-т д.17|50'!$C$13</definedName>
    <definedName name="_65h_E16">'Новоясеневский пр-т д.17|50'!$C$14</definedName>
    <definedName name="_65h_E17">'Новоясеневский пр-т д.17|50'!$C$15</definedName>
    <definedName name="_65h_E18">'Новоясеневский пр-т д.17|50'!$C$16</definedName>
    <definedName name="_65h_E19">'Новоясеневский пр-т д.17|50'!$C$17</definedName>
    <definedName name="_65h_E20">'Новоясеневский пр-т д.17|50'!$C$18</definedName>
    <definedName name="_65h_E21">'Новоясеневский пр-т д.17|50'!$C$19</definedName>
    <definedName name="_65h_E22">'Новоясеневский пр-т д.17|50'!$C$20</definedName>
    <definedName name="_65h_E23">'Новоясеневский пр-т д.17|50'!$C$21</definedName>
    <definedName name="_65h_E24">'Новоясеневский пр-т д.17|50'!$C$22</definedName>
    <definedName name="_65h_E25">'Новоясеневский пр-т д.17|50'!$C$23</definedName>
    <definedName name="_65h_E26">'Новоясеневский пр-т д.17|50'!$C$24</definedName>
    <definedName name="_65h_E27">'Новоясеневский пр-т д.17|50'!$C$25</definedName>
    <definedName name="_65h_E28">'Новоясеневский пр-т д.17|50'!$C$26</definedName>
    <definedName name="_65h_E29">'Новоясеневский пр-т д.17|50'!$C$27</definedName>
    <definedName name="_65h_E30">'Новоясеневский пр-т д.17|50'!$C$28</definedName>
    <definedName name="_65h_E31">'Новоясеневский пр-т д.17|50'!$C$29</definedName>
    <definedName name="_65h_E32">'Новоясеневский пр-т д.17|50'!$C$30</definedName>
    <definedName name="_65h_E33">'Новоясеневский пр-т д.17|50'!$C$31</definedName>
    <definedName name="_65h_E34">'Новоясеневский пр-т д.17|50'!$C$32</definedName>
    <definedName name="_65h_E35">'Новоясеневский пр-т д.17|50'!$C$33</definedName>
    <definedName name="_65h_E36">'Новоясеневский пр-т д.17|50'!$C$34</definedName>
    <definedName name="_65h_E37">'Новоясеневский пр-т д.17|50'!$C$35</definedName>
    <definedName name="_65h_E38">'Новоясеневский пр-т д.17|50'!$C$36</definedName>
    <definedName name="_65h_E39">'Новоясеневский пр-т д.17|50'!$C$37</definedName>
    <definedName name="_65h_E40">'Новоясеневский пр-т д.17|50'!$C$38</definedName>
    <definedName name="_65h_E41">'Новоясеневский пр-т д.17|50'!$C$39</definedName>
    <definedName name="_65h_E42">'Новоясеневский пр-т д.17|50'!$C$40</definedName>
    <definedName name="_65h_E43">'Новоясеневский пр-т д.17|50'!$C$41</definedName>
    <definedName name="_65h_E44">'Новоясеневский пр-т д.17|50'!$C$42</definedName>
    <definedName name="_65h_E45">'Новоясеневский пр-т д.17|50'!$C$43</definedName>
    <definedName name="_65h_E46">'Новоясеневский пр-т д.17|50'!$C$44</definedName>
    <definedName name="_65h_E47">'Новоясеневский пр-т д.17|50'!$C$45</definedName>
    <definedName name="_65h_E48">'Новоясеневский пр-т д.17|50'!$C$46</definedName>
    <definedName name="_65h_E49">'Новоясеневский пр-т д.17|50'!$C$47</definedName>
    <definedName name="_65h_E50">'Новоясеневский пр-т д.17|50'!$C$48</definedName>
    <definedName name="_65h_E51">'Новоясеневский пр-т д.17|50'!$C$49</definedName>
    <definedName name="_65h_E52">'Новоясеневский пр-т д.17|50'!#REF!</definedName>
    <definedName name="_65h_E53">'Новоясеневский пр-т д.17|50'!$C$50</definedName>
    <definedName name="_65h_E54">'Новоясеневский пр-т д.17|50'!$C$51</definedName>
    <definedName name="_65h_E55">'Новоясеневский пр-т д.17|50'!$C$52</definedName>
    <definedName name="_65h_E56">'Новоясеневский пр-т д.17|50'!$C$53</definedName>
    <definedName name="_65h_E57">'Новоясеневский пр-т д.17|50'!$C$54</definedName>
    <definedName name="_65h_E58">'Новоясеневский пр-т д.17|50'!$C$55</definedName>
    <definedName name="_65h_E59">'Новоясеневский пр-т д.17|50'!$C$56</definedName>
    <definedName name="_65h_E60">'Новоясеневский пр-т д.17|50'!$C$57</definedName>
    <definedName name="_65h_E61">'Новоясеневский пр-т д.17|50'!$C$58</definedName>
    <definedName name="_65h_E62">'Новоясеневский пр-т д.17|50'!$C$59</definedName>
    <definedName name="_65h_E63">'Новоясеневский пр-т д.17|50'!#REF!</definedName>
    <definedName name="_65h_E64">'Новоясеневский пр-т д.17|50'!$C$60</definedName>
    <definedName name="_65h_E65">'Новоясеневский пр-т д.17|50'!$C$61</definedName>
    <definedName name="_65h_E7">'Новоясеневский пр-т д.17|50'!$C$5</definedName>
    <definedName name="_65h_E8">'Новоясеневский пр-т д.17|50'!$C$6</definedName>
    <definedName name="_65h_E9">'Новоясеневский пр-т д.17|50'!$C$7</definedName>
    <definedName name="_65h_F10">'Новоясеневский пр-т д.17|50'!$D$8</definedName>
    <definedName name="_65h_F11">'Новоясеневский пр-т д.17|50'!$D$9</definedName>
    <definedName name="_65h_F12">'Новоясеневский пр-т д.17|50'!$D$10</definedName>
    <definedName name="_65h_F13">'Новоясеневский пр-т д.17|50'!$D$11</definedName>
    <definedName name="_65h_F14">'Новоясеневский пр-т д.17|50'!$D$12</definedName>
    <definedName name="_65h_F15">'Новоясеневский пр-т д.17|50'!$D$13</definedName>
    <definedName name="_65h_F16">'Новоясеневский пр-т д.17|50'!$D$14</definedName>
    <definedName name="_65h_F17">'Новоясеневский пр-т д.17|50'!$D$15</definedName>
    <definedName name="_65h_F18">'Новоясеневский пр-т д.17|50'!$D$16</definedName>
    <definedName name="_65h_F19">'Новоясеневский пр-т д.17|50'!$D$17</definedName>
    <definedName name="_65h_F20">'Новоясеневский пр-т д.17|50'!$D$18</definedName>
    <definedName name="_65h_F21">'Новоясеневский пр-т д.17|50'!$D$19</definedName>
    <definedName name="_65h_F22">'Новоясеневский пр-т д.17|50'!$D$20</definedName>
    <definedName name="_65h_F23">'Новоясеневский пр-т д.17|50'!$D$21</definedName>
    <definedName name="_65h_F24">'Новоясеневский пр-т д.17|50'!$D$22</definedName>
    <definedName name="_65h_F25">'Новоясеневский пр-т д.17|50'!$D$23</definedName>
    <definedName name="_65h_F26">'Новоясеневский пр-т д.17|50'!$D$24</definedName>
    <definedName name="_65h_F27">'Новоясеневский пр-т д.17|50'!$D$25</definedName>
    <definedName name="_65h_F28">'Новоясеневский пр-т д.17|50'!$D$26</definedName>
    <definedName name="_65h_F29">'Новоясеневский пр-т д.17|50'!$D$27</definedName>
    <definedName name="_65h_F30">'Новоясеневский пр-т д.17|50'!$D$28</definedName>
    <definedName name="_65h_F31">'Новоясеневский пр-т д.17|50'!$D$29</definedName>
    <definedName name="_65h_F32">'Новоясеневский пр-т д.17|50'!$D$30</definedName>
    <definedName name="_65h_F33">'Новоясеневский пр-т д.17|50'!$D$31</definedName>
    <definedName name="_65h_F34">'Новоясеневский пр-т д.17|50'!$D$32</definedName>
    <definedName name="_65h_F35">'Новоясеневский пр-т д.17|50'!$D$33</definedName>
    <definedName name="_65h_F36">'Новоясеневский пр-т д.17|50'!$D$34</definedName>
    <definedName name="_65h_F37">'Новоясеневский пр-т д.17|50'!$D$35</definedName>
    <definedName name="_65h_F38">'Новоясеневский пр-т д.17|50'!$D$36</definedName>
    <definedName name="_65h_F39">'Новоясеневский пр-т д.17|50'!$D$37</definedName>
    <definedName name="_65h_F40">'Новоясеневский пр-т д.17|50'!$D$38</definedName>
    <definedName name="_65h_F41">'Новоясеневский пр-т д.17|50'!$D$39</definedName>
    <definedName name="_65h_F42">'Новоясеневский пр-т д.17|50'!$D$40</definedName>
    <definedName name="_65h_F43">'Новоясеневский пр-т д.17|50'!$D$41</definedName>
    <definedName name="_65h_F44">'Новоясеневский пр-т д.17|50'!$D$42</definedName>
    <definedName name="_65h_F45">'Новоясеневский пр-т д.17|50'!$D$43</definedName>
    <definedName name="_65h_F46">'Новоясеневский пр-т д.17|50'!$D$44</definedName>
    <definedName name="_65h_F47">'Новоясеневский пр-т д.17|50'!$D$45</definedName>
    <definedName name="_65h_F48">'Новоясеневский пр-т д.17|50'!$D$46</definedName>
    <definedName name="_65h_F49">'Новоясеневский пр-т д.17|50'!$D$47</definedName>
    <definedName name="_65h_F50">'Новоясеневский пр-т д.17|50'!$D$48</definedName>
    <definedName name="_65h_F51">'Новоясеневский пр-т д.17|50'!$D$49</definedName>
    <definedName name="_65h_F52">'Новоясеневский пр-т д.17|50'!#REF!</definedName>
    <definedName name="_65h_F53">'Новоясеневский пр-т д.17|50'!$D$50</definedName>
    <definedName name="_65h_F54">'Новоясеневский пр-т д.17|50'!$D$51</definedName>
    <definedName name="_65h_F55">'Новоясеневский пр-т д.17|50'!$D$52</definedName>
    <definedName name="_65h_F56">'Новоясеневский пр-т д.17|50'!$D$53</definedName>
    <definedName name="_65h_F57">'Новоясеневский пр-т д.17|50'!$D$54</definedName>
    <definedName name="_65h_F58">'Новоясеневский пр-т д.17|50'!$D$55</definedName>
    <definedName name="_65h_F59">'Новоясеневский пр-т д.17|50'!$D$56</definedName>
    <definedName name="_65h_F60">'Новоясеневский пр-т д.17|50'!$D$57</definedName>
    <definedName name="_65h_F61">'Новоясеневский пр-т д.17|50'!$D$58</definedName>
    <definedName name="_65h_F62">'Новоясеневский пр-т д.17|50'!$D$59</definedName>
    <definedName name="_65h_F63">'Новоясеневский пр-т д.17|50'!#REF!</definedName>
    <definedName name="_65h_F64">'Новоясеневский пр-т д.17|50'!$D$60</definedName>
    <definedName name="_65h_F65">'Новоясеневский пр-т д.17|50'!$D$61</definedName>
    <definedName name="_65h_F7">'Новоясеневский пр-т д.17|50'!$D$5</definedName>
    <definedName name="_65h_F8">'Новоясеневский пр-т д.17|50'!$D$6</definedName>
    <definedName name="_65h_F9">'Новоясеневский пр-т д.17|50'!$D$7</definedName>
    <definedName name="_66h_E10">'Новоясеневский пр-т д.19 к.1'!$C$8</definedName>
    <definedName name="_66h_E11">'Новоясеневский пр-т д.19 к.1'!$C$9</definedName>
    <definedName name="_66h_E12">'Новоясеневский пр-т д.19 к.1'!$C$10</definedName>
    <definedName name="_66h_E13">'Новоясеневский пр-т д.19 к.1'!$C$11</definedName>
    <definedName name="_66h_E14">'Новоясеневский пр-т д.19 к.1'!$C$12</definedName>
    <definedName name="_66h_E15">'Новоясеневский пр-т д.19 к.1'!$C$13</definedName>
    <definedName name="_66h_E16">'Новоясеневский пр-т д.19 к.1'!$C$14</definedName>
    <definedName name="_66h_E17">'Новоясеневский пр-т д.19 к.1'!$C$15</definedName>
    <definedName name="_66h_E18">'Новоясеневский пр-т д.19 к.1'!$C$16</definedName>
    <definedName name="_66h_E19">'Новоясеневский пр-т д.19 к.1'!$C$17</definedName>
    <definedName name="_66h_E20">'Новоясеневский пр-т д.19 к.1'!$C$18</definedName>
    <definedName name="_66h_E21">'Новоясеневский пр-т д.19 к.1'!$C$19</definedName>
    <definedName name="_66h_E22">'Новоясеневский пр-т д.19 к.1'!$C$20</definedName>
    <definedName name="_66h_E23">'Новоясеневский пр-т д.19 к.1'!$C$21</definedName>
    <definedName name="_66h_E24">'Новоясеневский пр-т д.19 к.1'!$C$22</definedName>
    <definedName name="_66h_E25">'Новоясеневский пр-т д.19 к.1'!$C$23</definedName>
    <definedName name="_66h_E26">'Новоясеневский пр-т д.19 к.1'!$C$24</definedName>
    <definedName name="_66h_E27">'Новоясеневский пр-т д.19 к.1'!$C$25</definedName>
    <definedName name="_66h_E28">'Новоясеневский пр-т д.19 к.1'!$C$26</definedName>
    <definedName name="_66h_E29">'Новоясеневский пр-т д.19 к.1'!$C$27</definedName>
    <definedName name="_66h_E30">'Новоясеневский пр-т д.19 к.1'!$C$28</definedName>
    <definedName name="_66h_E31">'Новоясеневский пр-т д.19 к.1'!$C$29</definedName>
    <definedName name="_66h_E32">'Новоясеневский пр-т д.19 к.1'!$C$30</definedName>
    <definedName name="_66h_E33">'Новоясеневский пр-т д.19 к.1'!$C$31</definedName>
    <definedName name="_66h_E34">'Новоясеневский пр-т д.19 к.1'!$C$32</definedName>
    <definedName name="_66h_E35">'Новоясеневский пр-т д.19 к.1'!$C$33</definedName>
    <definedName name="_66h_E36">'Новоясеневский пр-т д.19 к.1'!$C$34</definedName>
    <definedName name="_66h_E37">'Новоясеневский пр-т д.19 к.1'!$C$35</definedName>
    <definedName name="_66h_E38">'Новоясеневский пр-т д.19 к.1'!$C$36</definedName>
    <definedName name="_66h_E39">'Новоясеневский пр-т д.19 к.1'!$C$37</definedName>
    <definedName name="_66h_E40">'Новоясеневский пр-т д.19 к.1'!$C$38</definedName>
    <definedName name="_66h_E41">'Новоясеневский пр-т д.19 к.1'!$C$39</definedName>
    <definedName name="_66h_E42">'Новоясеневский пр-т д.19 к.1'!$C$43</definedName>
    <definedName name="_66h_E43">'Новоясеневский пр-т д.19 к.1'!$C$44</definedName>
    <definedName name="_66h_E44">'Новоясеневский пр-т д.19 к.1'!$C$45</definedName>
    <definedName name="_66h_E45">'Новоясеневский пр-т д.19 к.1'!$C$46</definedName>
    <definedName name="_66h_E46">'Новоясеневский пр-т д.19 к.1'!$C$47</definedName>
    <definedName name="_66h_E47">'Новоясеневский пр-т д.19 к.1'!$C$48</definedName>
    <definedName name="_66h_E48">'Новоясеневский пр-т д.19 к.1'!$C$49</definedName>
    <definedName name="_66h_E49">'Новоясеневский пр-т д.19 к.1'!$C$50</definedName>
    <definedName name="_66h_E50">'Новоясеневский пр-т д.19 к.1'!$C$51</definedName>
    <definedName name="_66h_E51">'Новоясеневский пр-т д.19 к.1'!$C$52</definedName>
    <definedName name="_66h_E52">'Новоясеневский пр-т д.19 к.1'!#REF!</definedName>
    <definedName name="_66h_E53">'Новоясеневский пр-т д.19 к.1'!$C$53</definedName>
    <definedName name="_66h_E54">'Новоясеневский пр-т д.19 к.1'!$C$54</definedName>
    <definedName name="_66h_E55">'Новоясеневский пр-т д.19 к.1'!$C$55</definedName>
    <definedName name="_66h_E56">'Новоясеневский пр-т д.19 к.1'!$C$56</definedName>
    <definedName name="_66h_E57">'Новоясеневский пр-т д.19 к.1'!$C$57</definedName>
    <definedName name="_66h_E58">'Новоясеневский пр-т д.19 к.1'!$C$58</definedName>
    <definedName name="_66h_E59">'Новоясеневский пр-т д.19 к.1'!$C$59</definedName>
    <definedName name="_66h_E60">'Новоясеневский пр-т д.19 к.1'!$C$60</definedName>
    <definedName name="_66h_E61">'Новоясеневский пр-т д.19 к.1'!$C$61</definedName>
    <definedName name="_66h_E62">'Новоясеневский пр-т д.19 к.1'!$C$62</definedName>
    <definedName name="_66h_E63">'Новоясеневский пр-т д.19 к.1'!#REF!</definedName>
    <definedName name="_66h_E64">'Новоясеневский пр-т д.19 к.1'!$C$63</definedName>
    <definedName name="_66h_E65">'Новоясеневский пр-т д.19 к.1'!$C$64</definedName>
    <definedName name="_66h_E7">'Новоясеневский пр-т д.19 к.1'!$C$5</definedName>
    <definedName name="_66h_E8">'Новоясеневский пр-т д.19 к.1'!$C$6</definedName>
    <definedName name="_66h_E9">'Новоясеневский пр-т д.19 к.1'!$C$7</definedName>
    <definedName name="_66h_F10">'Новоясеневский пр-т д.19 к.1'!$D$8</definedName>
    <definedName name="_66h_F11">'Новоясеневский пр-т д.19 к.1'!$D$9</definedName>
    <definedName name="_66h_F12">'Новоясеневский пр-т д.19 к.1'!$D$10</definedName>
    <definedName name="_66h_F13">'Новоясеневский пр-т д.19 к.1'!$D$11</definedName>
    <definedName name="_66h_F14">'Новоясеневский пр-т д.19 к.1'!$D$12</definedName>
    <definedName name="_66h_F15">'Новоясеневский пр-т д.19 к.1'!$D$13</definedName>
    <definedName name="_66h_F16">'Новоясеневский пр-т д.19 к.1'!$D$14</definedName>
    <definedName name="_66h_F17">'Новоясеневский пр-т д.19 к.1'!$D$15</definedName>
    <definedName name="_66h_F18">'Новоясеневский пр-т д.19 к.1'!$D$16</definedName>
    <definedName name="_66h_F19">'Новоясеневский пр-т д.19 к.1'!$D$17</definedName>
    <definedName name="_66h_F20">'Новоясеневский пр-т д.19 к.1'!$D$18</definedName>
    <definedName name="_66h_F21">'Новоясеневский пр-т д.19 к.1'!$D$19</definedName>
    <definedName name="_66h_F22">'Новоясеневский пр-т д.19 к.1'!$D$20</definedName>
    <definedName name="_66h_F23">'Новоясеневский пр-т д.19 к.1'!$D$21</definedName>
    <definedName name="_66h_F24">'Новоясеневский пр-т д.19 к.1'!$D$22</definedName>
    <definedName name="_66h_F25">'Новоясеневский пр-т д.19 к.1'!$D$23</definedName>
    <definedName name="_66h_F26">'Новоясеневский пр-т д.19 к.1'!$D$24</definedName>
    <definedName name="_66h_F27">'Новоясеневский пр-т д.19 к.1'!$D$25</definedName>
    <definedName name="_66h_F28">'Новоясеневский пр-т д.19 к.1'!$D$26</definedName>
    <definedName name="_66h_F29">'Новоясеневский пр-т д.19 к.1'!$D$27</definedName>
    <definedName name="_66h_F30">'Новоясеневский пр-т д.19 к.1'!$D$28</definedName>
    <definedName name="_66h_F31">'Новоясеневский пр-т д.19 к.1'!$D$29</definedName>
    <definedName name="_66h_F32">'Новоясеневский пр-т д.19 к.1'!$D$30</definedName>
    <definedName name="_66h_F33">'Новоясеневский пр-т д.19 к.1'!$D$31</definedName>
    <definedName name="_66h_F34">'Новоясеневский пр-т д.19 к.1'!$D$32</definedName>
    <definedName name="_66h_F35">'Новоясеневский пр-т д.19 к.1'!$D$33</definedName>
    <definedName name="_66h_F36">'Новоясеневский пр-т д.19 к.1'!$D$34</definedName>
    <definedName name="_66h_F37">'Новоясеневский пр-т д.19 к.1'!$D$35</definedName>
    <definedName name="_66h_F38">'Новоясеневский пр-т д.19 к.1'!$D$36</definedName>
    <definedName name="_66h_F39">'Новоясеневский пр-т д.19 к.1'!$D$37</definedName>
    <definedName name="_66h_F40">'Новоясеневский пр-т д.19 к.1'!$D$38</definedName>
    <definedName name="_66h_F41">'Новоясеневский пр-т д.19 к.1'!$D$39</definedName>
    <definedName name="_66h_F42">'Новоясеневский пр-т д.19 к.1'!$D$43</definedName>
    <definedName name="_66h_F43">'Новоясеневский пр-т д.19 к.1'!$D$44</definedName>
    <definedName name="_66h_F44">'Новоясеневский пр-т д.19 к.1'!$D$45</definedName>
    <definedName name="_66h_F45">'Новоясеневский пр-т д.19 к.1'!$D$46</definedName>
    <definedName name="_66h_F46">'Новоясеневский пр-т д.19 к.1'!$D$47</definedName>
    <definedName name="_66h_F47">'Новоясеневский пр-т д.19 к.1'!$D$48</definedName>
    <definedName name="_66h_F48">'Новоясеневский пр-т д.19 к.1'!$D$49</definedName>
    <definedName name="_66h_F49">'Новоясеневский пр-т д.19 к.1'!$D$50</definedName>
    <definedName name="_66h_F50">'Новоясеневский пр-т д.19 к.1'!$D$51</definedName>
    <definedName name="_66h_F51">'Новоясеневский пр-т д.19 к.1'!$D$52</definedName>
    <definedName name="_66h_F52">'Новоясеневский пр-т д.19 к.1'!#REF!</definedName>
    <definedName name="_66h_F53">'Новоясеневский пр-т д.19 к.1'!$D$53</definedName>
    <definedName name="_66h_F54">'Новоясеневский пр-т д.19 к.1'!$D$54</definedName>
    <definedName name="_66h_F55">'Новоясеневский пр-т д.19 к.1'!$D$55</definedName>
    <definedName name="_66h_F56">'Новоясеневский пр-т д.19 к.1'!$D$56</definedName>
    <definedName name="_66h_F57">'Новоясеневский пр-т д.19 к.1'!$D$57</definedName>
    <definedName name="_66h_F58">'Новоясеневский пр-т д.19 к.1'!$D$58</definedName>
    <definedName name="_66h_F59">'Новоясеневский пр-т д.19 к.1'!$D$59</definedName>
    <definedName name="_66h_F60">'Новоясеневский пр-т д.19 к.1'!$D$60</definedName>
    <definedName name="_66h_F61">'Новоясеневский пр-т д.19 к.1'!$D$61</definedName>
    <definedName name="_66h_F62">'Новоясеневский пр-т д.19 к.1'!$D$62</definedName>
    <definedName name="_66h_F63">'Новоясеневский пр-т д.19 к.1'!#REF!</definedName>
    <definedName name="_66h_F64">'Новоясеневский пр-т д.19 к.1'!$D$63</definedName>
    <definedName name="_66h_F65">'Новоясеневский пр-т д.19 к.1'!$D$64</definedName>
    <definedName name="_66h_F7">'Новоясеневский пр-т д.19 к.1'!$D$5</definedName>
    <definedName name="_66h_F8">'Новоясеневский пр-т д.19 к.1'!$D$6</definedName>
    <definedName name="_66h_F9">'Новоясеневский пр-т д.19 к.1'!$D$7</definedName>
    <definedName name="_67h_E10">'Новоясеневский пр-т д.19 к.4'!$C$8</definedName>
    <definedName name="_67h_E11">'Новоясеневский пр-т д.19 к.4'!$C$9</definedName>
    <definedName name="_67h_E12">'Новоясеневский пр-т д.19 к.4'!$C$10</definedName>
    <definedName name="_67h_E13">'Новоясеневский пр-т д.19 к.4'!$C$11</definedName>
    <definedName name="_67h_E14">'Новоясеневский пр-т д.19 к.4'!$C$12</definedName>
    <definedName name="_67h_E15">'Новоясеневский пр-т д.19 к.4'!$C$13</definedName>
    <definedName name="_67h_E16">'Новоясеневский пр-т д.19 к.4'!$C$14</definedName>
    <definedName name="_67h_E17">'Новоясеневский пр-т д.19 к.4'!$C$15</definedName>
    <definedName name="_67h_E18">'Новоясеневский пр-т д.19 к.4'!$C$16</definedName>
    <definedName name="_67h_E19">'Новоясеневский пр-т д.19 к.4'!$C$17</definedName>
    <definedName name="_67h_E20">'Новоясеневский пр-т д.19 к.4'!$C$18</definedName>
    <definedName name="_67h_E21">'Новоясеневский пр-т д.19 к.4'!$C$19</definedName>
    <definedName name="_67h_E22">'Новоясеневский пр-т д.19 к.4'!$C$20</definedName>
    <definedName name="_67h_E23">'Новоясеневский пр-т д.19 к.4'!$C$21</definedName>
    <definedName name="_67h_E24">'Новоясеневский пр-т д.19 к.4'!$C$22</definedName>
    <definedName name="_67h_E25">'Новоясеневский пр-т д.19 к.4'!$C$23</definedName>
    <definedName name="_67h_E26">'Новоясеневский пр-т д.19 к.4'!$C$24</definedName>
    <definedName name="_67h_E27">'Новоясеневский пр-т д.19 к.4'!$C$25</definedName>
    <definedName name="_67h_E28">'Новоясеневский пр-т д.19 к.4'!$C$26</definedName>
    <definedName name="_67h_E29">'Новоясеневский пр-т д.19 к.4'!$C$27</definedName>
    <definedName name="_67h_E30">'Новоясеневский пр-т д.19 к.4'!$C$28</definedName>
    <definedName name="_67h_E31">'Новоясеневский пр-т д.19 к.4'!$C$29</definedName>
    <definedName name="_67h_E32">'Новоясеневский пр-т д.19 к.4'!$C$30</definedName>
    <definedName name="_67h_E33">'Новоясеневский пр-т д.19 к.4'!$C$31</definedName>
    <definedName name="_67h_E34">'Новоясеневский пр-т д.19 к.4'!$C$32</definedName>
    <definedName name="_67h_E35">'Новоясеневский пр-т д.19 к.4'!$C$33</definedName>
    <definedName name="_67h_E36">'Новоясеневский пр-т д.19 к.4'!$C$34</definedName>
    <definedName name="_67h_E37">'Новоясеневский пр-т д.19 к.4'!$C$35</definedName>
    <definedName name="_67h_E38">'Новоясеневский пр-т д.19 к.4'!$C$36</definedName>
    <definedName name="_67h_E39">'Новоясеневский пр-т д.19 к.4'!$C$37</definedName>
    <definedName name="_67h_E40">'Новоясеневский пр-т д.19 к.4'!$C$38</definedName>
    <definedName name="_67h_E41">'Новоясеневский пр-т д.19 к.4'!$C$39</definedName>
    <definedName name="_67h_E42">'Новоясеневский пр-т д.19 к.4'!$C$40</definedName>
    <definedName name="_67h_E43">'Новоясеневский пр-т д.19 к.4'!$C$41</definedName>
    <definedName name="_67h_E44">'Новоясеневский пр-т д.19 к.4'!$C$42</definedName>
    <definedName name="_67h_E45">'Новоясеневский пр-т д.19 к.4'!$C$43</definedName>
    <definedName name="_67h_E46">'Новоясеневский пр-т д.19 к.4'!$C$44</definedName>
    <definedName name="_67h_E47">'Новоясеневский пр-т д.19 к.4'!$C$45</definedName>
    <definedName name="_67h_E48">'Новоясеневский пр-т д.19 к.4'!$C$46</definedName>
    <definedName name="_67h_E49">'Новоясеневский пр-т д.19 к.4'!$C$47</definedName>
    <definedName name="_67h_E50">'Новоясеневский пр-т д.19 к.4'!$C$48</definedName>
    <definedName name="_67h_E51">'Новоясеневский пр-т д.19 к.4'!$C$49</definedName>
    <definedName name="_67h_E52">'Новоясеневский пр-т д.19 к.4'!#REF!</definedName>
    <definedName name="_67h_E53">'Новоясеневский пр-т д.19 к.4'!$C$50</definedName>
    <definedName name="_67h_E54">'Новоясеневский пр-т д.19 к.4'!$C$51</definedName>
    <definedName name="_67h_E55">'Новоясеневский пр-т д.19 к.4'!$C$52</definedName>
    <definedName name="_67h_E56">'Новоясеневский пр-т д.19 к.4'!$C$53</definedName>
    <definedName name="_67h_E57">'Новоясеневский пр-т д.19 к.4'!$C$54</definedName>
    <definedName name="_67h_E58">'Новоясеневский пр-т д.19 к.4'!$C$55</definedName>
    <definedName name="_67h_E59">'Новоясеневский пр-т д.19 к.4'!$C$56</definedName>
    <definedName name="_67h_E60">'Новоясеневский пр-т д.19 к.4'!$C$57</definedName>
    <definedName name="_67h_E61">'Новоясеневский пр-т д.19 к.4'!$C$58</definedName>
    <definedName name="_67h_E62">'Новоясеневский пр-т д.19 к.4'!$C$59</definedName>
    <definedName name="_67h_E63">'Новоясеневский пр-т д.19 к.4'!#REF!</definedName>
    <definedName name="_67h_E64">'Новоясеневский пр-т д.19 к.4'!$C$60</definedName>
    <definedName name="_67h_E65">'Новоясеневский пр-т д.19 к.4'!$C$61</definedName>
    <definedName name="_67h_E7">'Новоясеневский пр-т д.19 к.4'!$C$5</definedName>
    <definedName name="_67h_E8">'Новоясеневский пр-т д.19 к.4'!$C$6</definedName>
    <definedName name="_67h_E9">'Новоясеневский пр-т д.19 к.4'!$C$7</definedName>
    <definedName name="_67h_F10">'Новоясеневский пр-т д.19 к.4'!$D$8</definedName>
    <definedName name="_67h_F11">'Новоясеневский пр-т д.19 к.4'!$D$9</definedName>
    <definedName name="_67h_F12">'Новоясеневский пр-т д.19 к.4'!$D$10</definedName>
    <definedName name="_67h_F13">'Новоясеневский пр-т д.19 к.4'!$D$11</definedName>
    <definedName name="_67h_F14">'Новоясеневский пр-т д.19 к.4'!$D$12</definedName>
    <definedName name="_67h_F15">'Новоясеневский пр-т д.19 к.4'!$D$13</definedName>
    <definedName name="_67h_F16">'Новоясеневский пр-т д.19 к.4'!$D$14</definedName>
    <definedName name="_67h_F17">'Новоясеневский пр-т д.19 к.4'!$D$15</definedName>
    <definedName name="_67h_F18">'Новоясеневский пр-т д.19 к.4'!$D$16</definedName>
    <definedName name="_67h_F19">'Новоясеневский пр-т д.19 к.4'!$D$17</definedName>
    <definedName name="_67h_F20">'Новоясеневский пр-т д.19 к.4'!$D$18</definedName>
    <definedName name="_67h_F21">'Новоясеневский пр-т д.19 к.4'!$D$19</definedName>
    <definedName name="_67h_F22">'Новоясеневский пр-т д.19 к.4'!$D$20</definedName>
    <definedName name="_67h_F23">'Новоясеневский пр-т д.19 к.4'!$D$21</definedName>
    <definedName name="_67h_F24">'Новоясеневский пр-т д.19 к.4'!$D$22</definedName>
    <definedName name="_67h_F25">'Новоясеневский пр-т д.19 к.4'!$D$23</definedName>
    <definedName name="_67h_F26">'Новоясеневский пр-т д.19 к.4'!$D$24</definedName>
    <definedName name="_67h_F27">'Новоясеневский пр-т д.19 к.4'!$D$25</definedName>
    <definedName name="_67h_F28">'Новоясеневский пр-т д.19 к.4'!$D$26</definedName>
    <definedName name="_67h_F29">'Новоясеневский пр-т д.19 к.4'!$D$27</definedName>
    <definedName name="_67h_F30">'Новоясеневский пр-т д.19 к.4'!$D$28</definedName>
    <definedName name="_67h_F31">'Новоясеневский пр-т д.19 к.4'!$D$29</definedName>
    <definedName name="_67h_F32">'Новоясеневский пр-т д.19 к.4'!$D$30</definedName>
    <definedName name="_67h_F33">'Новоясеневский пр-т д.19 к.4'!$D$31</definedName>
    <definedName name="_67h_F34">'Новоясеневский пр-т д.19 к.4'!$D$32</definedName>
    <definedName name="_67h_F35">'Новоясеневский пр-т д.19 к.4'!$D$33</definedName>
    <definedName name="_67h_F36">'Новоясеневский пр-т д.19 к.4'!$D$34</definedName>
    <definedName name="_67h_F37">'Новоясеневский пр-т д.19 к.4'!$D$35</definedName>
    <definedName name="_67h_F38">'Новоясеневский пр-т д.19 к.4'!$D$36</definedName>
    <definedName name="_67h_F39">'Новоясеневский пр-т д.19 к.4'!$D$37</definedName>
    <definedName name="_67h_F40">'Новоясеневский пр-т д.19 к.4'!$D$38</definedName>
    <definedName name="_67h_F41">'Новоясеневский пр-т д.19 к.4'!$D$39</definedName>
    <definedName name="_67h_F42">'Новоясеневский пр-т д.19 к.4'!$D$40</definedName>
    <definedName name="_67h_F43">'Новоясеневский пр-т д.19 к.4'!$D$41</definedName>
    <definedName name="_67h_F44">'Новоясеневский пр-т д.19 к.4'!$D$42</definedName>
    <definedName name="_67h_F45">'Новоясеневский пр-т д.19 к.4'!$D$43</definedName>
    <definedName name="_67h_F46">'Новоясеневский пр-т д.19 к.4'!$D$44</definedName>
    <definedName name="_67h_F47">'Новоясеневский пр-т д.19 к.4'!$D$45</definedName>
    <definedName name="_67h_F48">'Новоясеневский пр-т д.19 к.4'!$D$46</definedName>
    <definedName name="_67h_F49">'Новоясеневский пр-т д.19 к.4'!$D$47</definedName>
    <definedName name="_67h_F50">'Новоясеневский пр-т д.19 к.4'!$D$48</definedName>
    <definedName name="_67h_F51">'Новоясеневский пр-т д.19 к.4'!$D$49</definedName>
    <definedName name="_67h_F52">'Новоясеневский пр-т д.19 к.4'!#REF!</definedName>
    <definedName name="_67h_F53">'Новоясеневский пр-т д.19 к.4'!$D$50</definedName>
    <definedName name="_67h_F54">'Новоясеневский пр-т д.19 к.4'!$D$51</definedName>
    <definedName name="_67h_F55">'Новоясеневский пр-т д.19 к.4'!$D$52</definedName>
    <definedName name="_67h_F56">'Новоясеневский пр-т д.19 к.4'!$D$53</definedName>
    <definedName name="_67h_F57">'Новоясеневский пр-т д.19 к.4'!$D$54</definedName>
    <definedName name="_67h_F58">'Новоясеневский пр-т д.19 к.4'!$D$55</definedName>
    <definedName name="_67h_F59">'Новоясеневский пр-т д.19 к.4'!$D$56</definedName>
    <definedName name="_67h_F60">'Новоясеневский пр-т д.19 к.4'!$D$57</definedName>
    <definedName name="_67h_F61">'Новоясеневский пр-т д.19 к.4'!$D$58</definedName>
    <definedName name="_67h_F62">'Новоясеневский пр-т д.19 к.4'!$D$59</definedName>
    <definedName name="_67h_F63">'Новоясеневский пр-т д.19 к.4'!#REF!</definedName>
    <definedName name="_67h_F64">'Новоясеневский пр-т д.19 к.4'!$D$60</definedName>
    <definedName name="_67h_F65">'Новоясеневский пр-т д.19 к.4'!$D$61</definedName>
    <definedName name="_67h_F7">'Новоясеневский пр-т д.19 к.4'!$D$5</definedName>
    <definedName name="_67h_F8">'Новоясеневский пр-т д.19 к.4'!$D$6</definedName>
    <definedName name="_67h_F9">'Новоясеневский пр-т д.19 к.4'!$D$7</definedName>
    <definedName name="_68h_E10">'Н~ д.21 к.1 стр.п.1-4 ЖСК Книга'!$C$8</definedName>
    <definedName name="_68h_E11">'Н~ д.21 к.1 стр.п.1-4 ЖСК Книга'!$C$9</definedName>
    <definedName name="_68h_E12">'Н~ д.21 к.1 стр.п.1-4 ЖСК Книга'!$C$10</definedName>
    <definedName name="_68h_E13">'Н~ д.21 к.1 стр.п.1-4 ЖСК Книга'!$C$11</definedName>
    <definedName name="_68h_E14">'Н~ д.21 к.1 стр.п.1-4 ЖСК Книга'!$C$12</definedName>
    <definedName name="_68h_E15">'Н~ д.21 к.1 стр.п.1-4 ЖСК Книга'!$C$13</definedName>
    <definedName name="_68h_E16">'Н~ д.21 к.1 стр.п.1-4 ЖСК Книга'!$C$14</definedName>
    <definedName name="_68h_E17">'Н~ д.21 к.1 стр.п.1-4 ЖСК Книга'!$C$15</definedName>
    <definedName name="_68h_E18">'Н~ д.21 к.1 стр.п.1-4 ЖСК Книга'!$C$16</definedName>
    <definedName name="_68h_E19">'Н~ д.21 к.1 стр.п.1-4 ЖСК Книга'!$C$17</definedName>
    <definedName name="_68h_E20">'Н~ д.21 к.1 стр.п.1-4 ЖСК Книга'!$C$18</definedName>
    <definedName name="_68h_E21">'Н~ д.21 к.1 стр.п.1-4 ЖСК Книга'!$C$19</definedName>
    <definedName name="_68h_E22">'Н~ д.21 к.1 стр.п.1-4 ЖСК Книга'!$C$20</definedName>
    <definedName name="_68h_E23">'Н~ д.21 к.1 стр.п.1-4 ЖСК Книга'!$C$21</definedName>
    <definedName name="_68h_E24">'Н~ д.21 к.1 стр.п.1-4 ЖСК Книга'!$C$22</definedName>
    <definedName name="_68h_E25">'Н~ д.21 к.1 стр.п.1-4 ЖСК Книга'!$C$23</definedName>
    <definedName name="_68h_E26">'Н~ д.21 к.1 стр.п.1-4 ЖСК Книга'!$C$24</definedName>
    <definedName name="_68h_E27">'Н~ д.21 к.1 стр.п.1-4 ЖСК Книга'!$C$25</definedName>
    <definedName name="_68h_E28">'Н~ д.21 к.1 стр.п.1-4 ЖСК Книга'!$C$26</definedName>
    <definedName name="_68h_E29">'Н~ д.21 к.1 стр.п.1-4 ЖСК Книга'!$C$27</definedName>
    <definedName name="_68h_E30">'Н~ д.21 к.1 стр.п.1-4 ЖСК Книга'!$C$28</definedName>
    <definedName name="_68h_E31">'Н~ д.21 к.1 стр.п.1-4 ЖСК Книга'!$C$29</definedName>
    <definedName name="_68h_E32">'Н~ д.21 к.1 стр.п.1-4 ЖСК Книга'!$C$30</definedName>
    <definedName name="_68h_E33">'Н~ д.21 к.1 стр.п.1-4 ЖСК Книга'!$C$31</definedName>
    <definedName name="_68h_E34">'Н~ д.21 к.1 стр.п.1-4 ЖСК Книга'!$C$32</definedName>
    <definedName name="_68h_E35">'Н~ д.21 к.1 стр.п.1-4 ЖСК Книга'!$C$33</definedName>
    <definedName name="_68h_E36">'Н~ д.21 к.1 стр.п.1-4 ЖСК Книга'!$C$34</definedName>
    <definedName name="_68h_E37">'Н~ д.21 к.1 стр.п.1-4 ЖСК Книга'!$C$35</definedName>
    <definedName name="_68h_E38">'Н~ д.21 к.1 стр.п.1-4 ЖСК Книга'!$C$36</definedName>
    <definedName name="_68h_E39">'Н~ д.21 к.1 стр.п.1-4 ЖСК Книга'!$C$37</definedName>
    <definedName name="_68h_E40">'Н~ д.21 к.1 стр.п.1-4 ЖСК Книга'!$C$38</definedName>
    <definedName name="_68h_E41">'Н~ д.21 к.1 стр.п.1-4 ЖСК Книга'!$C$39</definedName>
    <definedName name="_68h_E42">'Н~ д.21 к.1 стр.п.1-4 ЖСК Книга'!$C$40</definedName>
    <definedName name="_68h_E43">'Н~ д.21 к.1 стр.п.1-4 ЖСК Книга'!$C$41</definedName>
    <definedName name="_68h_E44">'Н~ д.21 к.1 стр.п.1-4 ЖСК Книга'!$C$42</definedName>
    <definedName name="_68h_E45">'Н~ д.21 к.1 стр.п.1-4 ЖСК Книга'!$C$43</definedName>
    <definedName name="_68h_E46">'Н~ д.21 к.1 стр.п.1-4 ЖСК Книга'!$C$44</definedName>
    <definedName name="_68h_E47">'Н~ д.21 к.1 стр.п.1-4 ЖСК Книга'!$C$45</definedName>
    <definedName name="_68h_E48">'Н~ д.21 к.1 стр.п.1-4 ЖСК Книга'!$C$46</definedName>
    <definedName name="_68h_E49">'Н~ д.21 к.1 стр.п.1-4 ЖСК Книга'!$C$47</definedName>
    <definedName name="_68h_E50">'Н~ д.21 к.1 стр.п.1-4 ЖСК Книга'!$C$48</definedName>
    <definedName name="_68h_E51">'Н~ д.21 к.1 стр.п.1-4 ЖСК Книга'!$C$49</definedName>
    <definedName name="_68h_E52">'Н~ д.21 к.1 стр.п.1-4 ЖСК Книга'!#REF!</definedName>
    <definedName name="_68h_E53">'Н~ д.21 к.1 стр.п.1-4 ЖСК Книга'!$C$50</definedName>
    <definedName name="_68h_E54">'Н~ д.21 к.1 стр.п.1-4 ЖСК Книга'!$C$51</definedName>
    <definedName name="_68h_E55">'Н~ д.21 к.1 стр.п.1-4 ЖСК Книга'!$C$52</definedName>
    <definedName name="_68h_E56">'Н~ д.21 к.1 стр.п.1-4 ЖСК Книга'!$C$53</definedName>
    <definedName name="_68h_E57">'Н~ д.21 к.1 стр.п.1-4 ЖСК Книга'!$C$54</definedName>
    <definedName name="_68h_E58">'Н~ д.21 к.1 стр.п.1-4 ЖСК Книга'!$C$55</definedName>
    <definedName name="_68h_E59">'Н~ д.21 к.1 стр.п.1-4 ЖСК Книга'!$C$56</definedName>
    <definedName name="_68h_E60">'Н~ д.21 к.1 стр.п.1-4 ЖСК Книга'!$C$57</definedName>
    <definedName name="_68h_E61">'Н~ д.21 к.1 стр.п.1-4 ЖСК Книга'!$C$58</definedName>
    <definedName name="_68h_E62">'Н~ д.21 к.1 стр.п.1-4 ЖСК Книга'!$C$59</definedName>
    <definedName name="_68h_E63">'Н~ д.21 к.1 стр.п.1-4 ЖСК Книга'!#REF!</definedName>
    <definedName name="_68h_E64">'Н~ д.21 к.1 стр.п.1-4 ЖСК Книга'!$C$60</definedName>
    <definedName name="_68h_E65">'Н~ д.21 к.1 стр.п.1-4 ЖСК Книга'!$C$61</definedName>
    <definedName name="_68h_E7">'Н~ д.21 к.1 стр.п.1-4 ЖСК Книга'!$C$5</definedName>
    <definedName name="_68h_E8">'Н~ д.21 к.1 стр.п.1-4 ЖСК Книга'!$C$6</definedName>
    <definedName name="_68h_E9">'Н~ д.21 к.1 стр.п.1-4 ЖСК Книга'!$C$7</definedName>
    <definedName name="_68h_F10">'Н~ д.21 к.1 стр.п.1-4 ЖСК Книга'!$D$8</definedName>
    <definedName name="_68h_F11">'Н~ д.21 к.1 стр.п.1-4 ЖСК Книга'!$D$9</definedName>
    <definedName name="_68h_F12">'Н~ д.21 к.1 стр.п.1-4 ЖСК Книга'!$D$10</definedName>
    <definedName name="_68h_F13">'Н~ д.21 к.1 стр.п.1-4 ЖСК Книга'!$D$11</definedName>
    <definedName name="_68h_F14">'Н~ д.21 к.1 стр.п.1-4 ЖСК Книга'!$D$12</definedName>
    <definedName name="_68h_F15">'Н~ д.21 к.1 стр.п.1-4 ЖСК Книга'!$D$13</definedName>
    <definedName name="_68h_F16">'Н~ д.21 к.1 стр.п.1-4 ЖСК Книга'!$D$14</definedName>
    <definedName name="_68h_F17">'Н~ д.21 к.1 стр.п.1-4 ЖСК Книга'!$D$15</definedName>
    <definedName name="_68h_F18">'Н~ д.21 к.1 стр.п.1-4 ЖСК Книга'!$D$16</definedName>
    <definedName name="_68h_F19">'Н~ д.21 к.1 стр.п.1-4 ЖСК Книга'!$D$17</definedName>
    <definedName name="_68h_F20">'Н~ д.21 к.1 стр.п.1-4 ЖСК Книга'!$D$18</definedName>
    <definedName name="_68h_F21">'Н~ д.21 к.1 стр.п.1-4 ЖСК Книга'!$D$19</definedName>
    <definedName name="_68h_F22">'Н~ д.21 к.1 стр.п.1-4 ЖСК Книга'!$D$20</definedName>
    <definedName name="_68h_F23">'Н~ д.21 к.1 стр.п.1-4 ЖСК Книга'!$D$21</definedName>
    <definedName name="_68h_F24">'Н~ д.21 к.1 стр.п.1-4 ЖСК Книга'!$D$22</definedName>
    <definedName name="_68h_F25">'Н~ д.21 к.1 стр.п.1-4 ЖСК Книга'!$D$23</definedName>
    <definedName name="_68h_F26">'Н~ д.21 к.1 стр.п.1-4 ЖСК Книга'!$D$24</definedName>
    <definedName name="_68h_F27">'Н~ д.21 к.1 стр.п.1-4 ЖСК Книга'!$D$25</definedName>
    <definedName name="_68h_F28">'Н~ д.21 к.1 стр.п.1-4 ЖСК Книга'!$D$26</definedName>
    <definedName name="_68h_F29">'Н~ д.21 к.1 стр.п.1-4 ЖСК Книга'!$D$27</definedName>
    <definedName name="_68h_F30">'Н~ д.21 к.1 стр.п.1-4 ЖСК Книга'!$D$28</definedName>
    <definedName name="_68h_F31">'Н~ д.21 к.1 стр.п.1-4 ЖСК Книга'!$D$29</definedName>
    <definedName name="_68h_F32">'Н~ д.21 к.1 стр.п.1-4 ЖСК Книга'!$D$30</definedName>
    <definedName name="_68h_F33">'Н~ д.21 к.1 стр.п.1-4 ЖСК Книга'!$D$31</definedName>
    <definedName name="_68h_F34">'Н~ д.21 к.1 стр.п.1-4 ЖСК Книга'!$D$32</definedName>
    <definedName name="_68h_F35">'Н~ д.21 к.1 стр.п.1-4 ЖСК Книга'!$D$33</definedName>
    <definedName name="_68h_F36">'Н~ д.21 к.1 стр.п.1-4 ЖСК Книга'!$D$34</definedName>
    <definedName name="_68h_F37">'Н~ д.21 к.1 стр.п.1-4 ЖСК Книга'!$D$35</definedName>
    <definedName name="_68h_F38">'Н~ д.21 к.1 стр.п.1-4 ЖСК Книга'!$D$36</definedName>
    <definedName name="_68h_F39">'Н~ д.21 к.1 стр.п.1-4 ЖСК Книга'!$D$37</definedName>
    <definedName name="_68h_F40">'Н~ д.21 к.1 стр.п.1-4 ЖСК Книга'!$D$38</definedName>
    <definedName name="_68h_F41">'Н~ д.21 к.1 стр.п.1-4 ЖСК Книга'!$D$39</definedName>
    <definedName name="_68h_F42">'Н~ д.21 к.1 стр.п.1-4 ЖСК Книга'!$D$40</definedName>
    <definedName name="_68h_F43">'Н~ д.21 к.1 стр.п.1-4 ЖСК Книга'!$D$41</definedName>
    <definedName name="_68h_F44">'Н~ д.21 к.1 стр.п.1-4 ЖСК Книга'!$D$42</definedName>
    <definedName name="_68h_F45">'Н~ д.21 к.1 стр.п.1-4 ЖСК Книга'!$D$43</definedName>
    <definedName name="_68h_F46">'Н~ д.21 к.1 стр.п.1-4 ЖСК Книга'!$D$44</definedName>
    <definedName name="_68h_F47">'Н~ д.21 к.1 стр.п.1-4 ЖСК Книга'!$D$45</definedName>
    <definedName name="_68h_F48">'Н~ д.21 к.1 стр.п.1-4 ЖСК Книга'!$D$46</definedName>
    <definedName name="_68h_F49">'Н~ д.21 к.1 стр.п.1-4 ЖСК Книга'!$D$47</definedName>
    <definedName name="_68h_F50">'Н~ д.21 к.1 стр.п.1-4 ЖСК Книга'!$D$48</definedName>
    <definedName name="_68h_F51">'Н~ д.21 к.1 стр.п.1-4 ЖСК Книга'!$D$49</definedName>
    <definedName name="_68h_F52">'Н~ д.21 к.1 стр.п.1-4 ЖСК Книга'!#REF!</definedName>
    <definedName name="_68h_F53">'Н~ д.21 к.1 стр.п.1-4 ЖСК Книга'!$D$50</definedName>
    <definedName name="_68h_F54">'Н~ д.21 к.1 стр.п.1-4 ЖСК Книга'!$D$51</definedName>
    <definedName name="_68h_F55">'Н~ д.21 к.1 стр.п.1-4 ЖСК Книга'!$D$52</definedName>
    <definedName name="_68h_F56">'Н~ д.21 к.1 стр.п.1-4 ЖСК Книга'!$D$53</definedName>
    <definedName name="_68h_F57">'Н~ д.21 к.1 стр.п.1-4 ЖСК Книга'!$D$54</definedName>
    <definedName name="_68h_F58">'Н~ д.21 к.1 стр.п.1-4 ЖСК Книга'!$D$55</definedName>
    <definedName name="_68h_F59">'Н~ д.21 к.1 стр.п.1-4 ЖСК Книга'!$D$56</definedName>
    <definedName name="_68h_F60">'Н~ д.21 к.1 стр.п.1-4 ЖСК Книга'!$D$57</definedName>
    <definedName name="_68h_F61">'Н~ д.21 к.1 стр.п.1-4 ЖСК Книга'!$D$58</definedName>
    <definedName name="_68h_F62">'Н~ д.21 к.1 стр.п.1-4 ЖСК Книга'!$D$59</definedName>
    <definedName name="_68h_F63">'Н~ д.21 к.1 стр.п.1-4 ЖСК Книга'!#REF!</definedName>
    <definedName name="_68h_F64">'Н~ д.21 к.1 стр.п.1-4 ЖСК Книга'!$D$60</definedName>
    <definedName name="_68h_F65">'Н~ д.21 к.1 стр.п.1-4 ЖСК Книга'!$D$61</definedName>
    <definedName name="_68h_F7">'Н~ д.21 к.1 стр.п.1-4 ЖСК Книга'!$D$5</definedName>
    <definedName name="_68h_F8">'Н~ д.21 к.1 стр.п.1-4 ЖСК Книга'!$D$6</definedName>
    <definedName name="_68h_F9">'Н~ д.21 к.1 стр.п.1-4 ЖСК Книга'!$D$7</definedName>
    <definedName name="_69h_E10">'Новояс~ д.21 к.1 стр.п.5-16 '!$C$8</definedName>
    <definedName name="_69h_E11">'Новояс~ д.21 к.1 стр.п.5-16 '!$C$9</definedName>
    <definedName name="_69h_E12">'Новояс~ д.21 к.1 стр.п.5-16 '!$C$10</definedName>
    <definedName name="_69h_E13">'Новояс~ д.21 к.1 стр.п.5-16 '!$C$11</definedName>
    <definedName name="_69h_E14">'Новояс~ д.21 к.1 стр.п.5-16 '!$C$12</definedName>
    <definedName name="_69h_E15">'Новояс~ д.21 к.1 стр.п.5-16 '!$C$13</definedName>
    <definedName name="_69h_E16">'Новояс~ д.21 к.1 стр.п.5-16 '!$C$14</definedName>
    <definedName name="_69h_E17">'Новояс~ д.21 к.1 стр.п.5-16 '!$C$15</definedName>
    <definedName name="_69h_E18">'Новояс~ д.21 к.1 стр.п.5-16 '!$C$16</definedName>
    <definedName name="_69h_E19">'Новояс~ д.21 к.1 стр.п.5-16 '!$C$17</definedName>
    <definedName name="_69h_E20">'Новояс~ д.21 к.1 стр.п.5-16 '!$C$18</definedName>
    <definedName name="_69h_E21">'Новояс~ д.21 к.1 стр.п.5-16 '!$C$19</definedName>
    <definedName name="_69h_E22">'Новояс~ д.21 к.1 стр.п.5-16 '!$C$20</definedName>
    <definedName name="_69h_E23">'Новояс~ д.21 к.1 стр.п.5-16 '!$C$21</definedName>
    <definedName name="_69h_E24">'Новояс~ д.21 к.1 стр.п.5-16 '!$C$22</definedName>
    <definedName name="_69h_E25">'Новояс~ д.21 к.1 стр.п.5-16 '!$C$23</definedName>
    <definedName name="_69h_E26">'Новояс~ д.21 к.1 стр.п.5-16 '!$C$24</definedName>
    <definedName name="_69h_E27">'Новояс~ д.21 к.1 стр.п.5-16 '!$C$25</definedName>
    <definedName name="_69h_E28">'Новояс~ д.21 к.1 стр.п.5-16 '!$C$26</definedName>
    <definedName name="_69h_E29">'Новояс~ д.21 к.1 стр.п.5-16 '!$C$27</definedName>
    <definedName name="_69h_E30">'Новояс~ д.21 к.1 стр.п.5-16 '!$C$28</definedName>
    <definedName name="_69h_E31">'Новояс~ д.21 к.1 стр.п.5-16 '!$C$29</definedName>
    <definedName name="_69h_E32">'Новояс~ д.21 к.1 стр.п.5-16 '!$C$30</definedName>
    <definedName name="_69h_E33">'Новояс~ д.21 к.1 стр.п.5-16 '!$C$31</definedName>
    <definedName name="_69h_E34">'Новояс~ д.21 к.1 стр.п.5-16 '!$C$32</definedName>
    <definedName name="_69h_E35">'Новояс~ д.21 к.1 стр.п.5-16 '!$C$33</definedName>
    <definedName name="_69h_E36">'Новояс~ д.21 к.1 стр.п.5-16 '!$C$34</definedName>
    <definedName name="_69h_E37">'Новояс~ д.21 к.1 стр.п.5-16 '!$C$35</definedName>
    <definedName name="_69h_E38">'Новояс~ д.21 к.1 стр.п.5-16 '!$C$36</definedName>
    <definedName name="_69h_E39">'Новояс~ д.21 к.1 стр.п.5-16 '!$C$37</definedName>
    <definedName name="_69h_E40">'Новояс~ д.21 к.1 стр.п.5-16 '!$C$38</definedName>
    <definedName name="_69h_E41">'Новояс~ д.21 к.1 стр.п.5-16 '!$C$39</definedName>
    <definedName name="_69h_E42">'Новояс~ д.21 к.1 стр.п.5-16 '!$C$40</definedName>
    <definedName name="_69h_E43">'Новояс~ д.21 к.1 стр.п.5-16 '!$C$41</definedName>
    <definedName name="_69h_E44">'Новояс~ д.21 к.1 стр.п.5-16 '!$C$42</definedName>
    <definedName name="_69h_E45">'Новояс~ д.21 к.1 стр.п.5-16 '!$C$43</definedName>
    <definedName name="_69h_E46">'Новояс~ д.21 к.1 стр.п.5-16 '!$C$44</definedName>
    <definedName name="_69h_E47">'Новояс~ д.21 к.1 стр.п.5-16 '!$C$45</definedName>
    <definedName name="_69h_E48">'Новояс~ д.21 к.1 стр.п.5-16 '!$C$46</definedName>
    <definedName name="_69h_E49">'Новояс~ д.21 к.1 стр.п.5-16 '!$C$47</definedName>
    <definedName name="_69h_E50">'Новояс~ д.21 к.1 стр.п.5-16 '!$C$48</definedName>
    <definedName name="_69h_E51">'Новояс~ д.21 к.1 стр.п.5-16 '!$C$49</definedName>
    <definedName name="_69h_E52">'Новояс~ д.21 к.1 стр.п.5-16 '!#REF!</definedName>
    <definedName name="_69h_E53">'Новояс~ д.21 к.1 стр.п.5-16 '!$C$50</definedName>
    <definedName name="_69h_E54">'Новояс~ д.21 к.1 стр.п.5-16 '!$C$51</definedName>
    <definedName name="_69h_E55">'Новояс~ д.21 к.1 стр.п.5-16 '!$C$52</definedName>
    <definedName name="_69h_E56">'Новояс~ д.21 к.1 стр.п.5-16 '!$C$53</definedName>
    <definedName name="_69h_E57">'Новояс~ д.21 к.1 стр.п.5-16 '!$C$54</definedName>
    <definedName name="_69h_E58">'Новояс~ д.21 к.1 стр.п.5-16 '!$C$55</definedName>
    <definedName name="_69h_E59">'Новояс~ д.21 к.1 стр.п.5-16 '!$C$56</definedName>
    <definedName name="_69h_E60">'Новояс~ д.21 к.1 стр.п.5-16 '!$C$57</definedName>
    <definedName name="_69h_E61">'Новояс~ д.21 к.1 стр.п.5-16 '!$C$58</definedName>
    <definedName name="_69h_E62">'Новояс~ д.21 к.1 стр.п.5-16 '!$C$59</definedName>
    <definedName name="_69h_E63">'Новояс~ д.21 к.1 стр.п.5-16 '!#REF!</definedName>
    <definedName name="_69h_E64">'Новояс~ д.21 к.1 стр.п.5-16 '!$C$60</definedName>
    <definedName name="_69h_E65">'Новояс~ д.21 к.1 стр.п.5-16 '!$C$61</definedName>
    <definedName name="_69h_E7">'Новояс~ д.21 к.1 стр.п.5-16 '!$C$5</definedName>
    <definedName name="_69h_E8">'Новояс~ д.21 к.1 стр.п.5-16 '!$C$6</definedName>
    <definedName name="_69h_E9">'Новояс~ д.21 к.1 стр.п.5-16 '!$C$7</definedName>
    <definedName name="_69h_F10">'Новояс~ д.21 к.1 стр.п.5-16 '!$D$8</definedName>
    <definedName name="_69h_F11">'Новояс~ д.21 к.1 стр.п.5-16 '!$D$9</definedName>
    <definedName name="_69h_F12">'Новояс~ д.21 к.1 стр.п.5-16 '!$D$10</definedName>
    <definedName name="_69h_F13">'Новояс~ д.21 к.1 стр.п.5-16 '!$D$11</definedName>
    <definedName name="_69h_F14">'Новояс~ д.21 к.1 стр.п.5-16 '!$D$12</definedName>
    <definedName name="_69h_F15">'Новояс~ д.21 к.1 стр.п.5-16 '!$D$13</definedName>
    <definedName name="_69h_F16">'Новояс~ д.21 к.1 стр.п.5-16 '!$D$14</definedName>
    <definedName name="_69h_F17">'Новояс~ д.21 к.1 стр.п.5-16 '!$D$15</definedName>
    <definedName name="_69h_F18">'Новояс~ д.21 к.1 стр.п.5-16 '!$D$16</definedName>
    <definedName name="_69h_F19">'Новояс~ д.21 к.1 стр.п.5-16 '!$D$17</definedName>
    <definedName name="_69h_F20">'Новояс~ д.21 к.1 стр.п.5-16 '!$D$18</definedName>
    <definedName name="_69h_F21">'Новояс~ д.21 к.1 стр.п.5-16 '!$D$19</definedName>
    <definedName name="_69h_F22">'Новояс~ д.21 к.1 стр.п.5-16 '!$D$20</definedName>
    <definedName name="_69h_F23">'Новояс~ д.21 к.1 стр.п.5-16 '!$D$21</definedName>
    <definedName name="_69h_F24">'Новояс~ д.21 к.1 стр.п.5-16 '!$D$22</definedName>
    <definedName name="_69h_F25">'Новояс~ д.21 к.1 стр.п.5-16 '!$D$23</definedName>
    <definedName name="_69h_F26">'Новояс~ д.21 к.1 стр.п.5-16 '!$D$24</definedName>
    <definedName name="_69h_F27">'Новояс~ д.21 к.1 стр.п.5-16 '!$D$25</definedName>
    <definedName name="_69h_F28">'Новояс~ д.21 к.1 стр.п.5-16 '!$D$26</definedName>
    <definedName name="_69h_F29">'Новояс~ д.21 к.1 стр.п.5-16 '!$D$27</definedName>
    <definedName name="_69h_F30">'Новояс~ д.21 к.1 стр.п.5-16 '!$D$28</definedName>
    <definedName name="_69h_F31">'Новояс~ д.21 к.1 стр.п.5-16 '!$D$29</definedName>
    <definedName name="_69h_F32">'Новояс~ д.21 к.1 стр.п.5-16 '!$D$30</definedName>
    <definedName name="_69h_F33">'Новояс~ д.21 к.1 стр.п.5-16 '!$D$31</definedName>
    <definedName name="_69h_F34">'Новояс~ д.21 к.1 стр.п.5-16 '!$D$32</definedName>
    <definedName name="_69h_F35">'Новояс~ д.21 к.1 стр.п.5-16 '!$D$33</definedName>
    <definedName name="_69h_F36">'Новояс~ д.21 к.1 стр.п.5-16 '!$D$34</definedName>
    <definedName name="_69h_F37">'Новояс~ д.21 к.1 стр.п.5-16 '!$D$35</definedName>
    <definedName name="_69h_F38">'Новояс~ д.21 к.1 стр.п.5-16 '!$D$36</definedName>
    <definedName name="_69h_F39">'Новояс~ д.21 к.1 стр.п.5-16 '!$D$37</definedName>
    <definedName name="_69h_F40">'Новояс~ д.21 к.1 стр.п.5-16 '!$D$38</definedName>
    <definedName name="_69h_F41">'Новояс~ д.21 к.1 стр.п.5-16 '!$D$39</definedName>
    <definedName name="_69h_F42">'Новояс~ д.21 к.1 стр.п.5-16 '!$D$40</definedName>
    <definedName name="_69h_F43">'Новояс~ д.21 к.1 стр.п.5-16 '!$D$41</definedName>
    <definedName name="_69h_F44">'Новояс~ д.21 к.1 стр.п.5-16 '!$D$42</definedName>
    <definedName name="_69h_F45">'Новояс~ д.21 к.1 стр.п.5-16 '!$D$43</definedName>
    <definedName name="_69h_F46">'Новояс~ д.21 к.1 стр.п.5-16 '!$D$44</definedName>
    <definedName name="_69h_F47">'Новояс~ д.21 к.1 стр.п.5-16 '!$D$45</definedName>
    <definedName name="_69h_F48">'Новояс~ д.21 к.1 стр.п.5-16 '!$D$46</definedName>
    <definedName name="_69h_F49">'Новояс~ д.21 к.1 стр.п.5-16 '!$D$47</definedName>
    <definedName name="_69h_F50">'Новояс~ д.21 к.1 стр.п.5-16 '!$D$48</definedName>
    <definedName name="_69h_F51">'Новояс~ д.21 к.1 стр.п.5-16 '!$D$49</definedName>
    <definedName name="_69h_F52">'Новояс~ д.21 к.1 стр.п.5-16 '!#REF!</definedName>
    <definedName name="_69h_F53">'Новояс~ д.21 к.1 стр.п.5-16 '!$D$50</definedName>
    <definedName name="_69h_F54">'Новояс~ д.21 к.1 стр.п.5-16 '!$D$51</definedName>
    <definedName name="_69h_F55">'Новояс~ д.21 к.1 стр.п.5-16 '!$D$52</definedName>
    <definedName name="_69h_F56">'Новояс~ д.21 к.1 стр.п.5-16 '!$D$53</definedName>
    <definedName name="_69h_F57">'Новояс~ д.21 к.1 стр.п.5-16 '!$D$54</definedName>
    <definedName name="_69h_F58">'Новояс~ д.21 к.1 стр.п.5-16 '!$D$55</definedName>
    <definedName name="_69h_F59">'Новояс~ д.21 к.1 стр.п.5-16 '!$D$56</definedName>
    <definedName name="_69h_F60">'Новояс~ д.21 к.1 стр.п.5-16 '!$D$57</definedName>
    <definedName name="_69h_F61">'Новояс~ д.21 к.1 стр.п.5-16 '!$D$58</definedName>
    <definedName name="_69h_F62">'Новояс~ д.21 к.1 стр.п.5-16 '!$D$59</definedName>
    <definedName name="_69h_F63">'Новояс~ д.21 к.1 стр.п.5-16 '!#REF!</definedName>
    <definedName name="_69h_F64">'Новояс~ д.21 к.1 стр.п.5-16 '!$D$60</definedName>
    <definedName name="_69h_F65">'Новояс~ д.21 к.1 стр.п.5-16 '!$D$61</definedName>
    <definedName name="_69h_F7">'Новояс~ д.21 к.1 стр.п.5-16 '!$D$5</definedName>
    <definedName name="_69h_F8">'Новояс~ д.21 к.1 стр.п.5-16 '!$D$6</definedName>
    <definedName name="_69h_F9">'Новояс~ д.21 к.1 стр.п.5-16 '!$D$7</definedName>
    <definedName name="_6h_E10">'Вильнюсская д.4 стр.п.11-18 '!$C$8</definedName>
    <definedName name="_6h_E11">'Вильнюсская д.4 стр.п.11-18 '!$C$9</definedName>
    <definedName name="_6h_E12">'Вильнюсская д.4 стр.п.11-18 '!$C$10</definedName>
    <definedName name="_6h_E13">'Вильнюсская д.4 стр.п.11-18 '!$C$11</definedName>
    <definedName name="_6h_E14">'Вильнюсская д.4 стр.п.11-18 '!$C$12</definedName>
    <definedName name="_6h_E15">'Вильнюсская д.4 стр.п.11-18 '!$C$13</definedName>
    <definedName name="_6h_E16">'Вильнюсская д.4 стр.п.11-18 '!$C$14</definedName>
    <definedName name="_6h_E17">'Вильнюсская д.4 стр.п.11-18 '!$C$15</definedName>
    <definedName name="_6h_E18">'Вильнюсская д.4 стр.п.11-18 '!$C$16</definedName>
    <definedName name="_6h_E19">'Вильнюсская д.4 стр.п.11-18 '!$C$17</definedName>
    <definedName name="_6h_E20">'Вильнюсская д.4 стр.п.11-18 '!$C$18</definedName>
    <definedName name="_6h_E21">'Вильнюсская д.4 стр.п.11-18 '!$C$19</definedName>
    <definedName name="_6h_E22">'Вильнюсская д.4 стр.п.11-18 '!$C$20</definedName>
    <definedName name="_6h_E23">'Вильнюсская д.4 стр.п.11-18 '!$C$21</definedName>
    <definedName name="_6h_E24">'Вильнюсская д.4 стр.п.11-18 '!$C$22</definedName>
    <definedName name="_6h_E25">'Вильнюсская д.4 стр.п.11-18 '!$C$23</definedName>
    <definedName name="_6h_E26">'Вильнюсская д.4 стр.п.11-18 '!$C$24</definedName>
    <definedName name="_6h_E27">'Вильнюсская д.4 стр.п.11-18 '!$C$25</definedName>
    <definedName name="_6h_E28">'Вильнюсская д.4 стр.п.11-18 '!$C$26</definedName>
    <definedName name="_6h_E29">'Вильнюсская д.4 стр.п.11-18 '!$C$27</definedName>
    <definedName name="_6h_E30">'Вильнюсская д.4 стр.п.11-18 '!$C$28</definedName>
    <definedName name="_6h_E31">'Вильнюсская д.4 стр.п.11-18 '!$C$29</definedName>
    <definedName name="_6h_E32">'Вильнюсская д.4 стр.п.11-18 '!$C$30</definedName>
    <definedName name="_6h_E33">'Вильнюсская д.4 стр.п.11-18 '!$C$31</definedName>
    <definedName name="_6h_E34">'Вильнюсская д.4 стр.п.11-18 '!$C$32</definedName>
    <definedName name="_6h_E35">'Вильнюсская д.4 стр.п.11-18 '!$C$33</definedName>
    <definedName name="_6h_E36">'Вильнюсская д.4 стр.п.11-18 '!$C$34</definedName>
    <definedName name="_6h_E37">'Вильнюсская д.4 стр.п.11-18 '!$C$35</definedName>
    <definedName name="_6h_E38">'Вильнюсская д.4 стр.п.11-18 '!$C$36</definedName>
    <definedName name="_6h_E39">'Вильнюсская д.4 стр.п.11-18 '!$C$37</definedName>
    <definedName name="_6h_E40">'Вильнюсская д.4 стр.п.11-18 '!$C$38</definedName>
    <definedName name="_6h_E41">'Вильнюсская д.4 стр.п.11-18 '!$C$39</definedName>
    <definedName name="_6h_E42">'Вильнюсская д.4 стр.п.11-18 '!$C$40</definedName>
    <definedName name="_6h_E43">'Вильнюсская д.4 стр.п.11-18 '!$C$41</definedName>
    <definedName name="_6h_E44">'Вильнюсская д.4 стр.п.11-18 '!$C$42</definedName>
    <definedName name="_6h_E45">'Вильнюсская д.4 стр.п.11-18 '!$C$43</definedName>
    <definedName name="_6h_E46">'Вильнюсская д.4 стр.п.11-18 '!$C$44</definedName>
    <definedName name="_6h_E47">'Вильнюсская д.4 стр.п.11-18 '!$C$45</definedName>
    <definedName name="_6h_E48">'Вильнюсская д.4 стр.п.11-18 '!$C$46</definedName>
    <definedName name="_6h_E49">'Вильнюсская д.4 стр.п.11-18 '!$C$47</definedName>
    <definedName name="_6h_E50">'Вильнюсская д.4 стр.п.11-18 '!$C$48</definedName>
    <definedName name="_6h_E51">'Вильнюсская д.4 стр.п.11-18 '!$C$49</definedName>
    <definedName name="_6h_E52">'Вильнюсская д.4 стр.п.11-18 '!#REF!</definedName>
    <definedName name="_6h_E53">'Вильнюсская д.4 стр.п.11-18 '!$C$50</definedName>
    <definedName name="_6h_E54">'Вильнюсская д.4 стр.п.11-18 '!$C$51</definedName>
    <definedName name="_6h_E55">'Вильнюсская д.4 стр.п.11-18 '!$C$52</definedName>
    <definedName name="_6h_E56">'Вильнюсская д.4 стр.п.11-18 '!$C$53</definedName>
    <definedName name="_6h_E57">'Вильнюсская д.4 стр.п.11-18 '!$C$54</definedName>
    <definedName name="_6h_E58">'Вильнюсская д.4 стр.п.11-18 '!$C$55</definedName>
    <definedName name="_6h_E59">'Вильнюсская д.4 стр.п.11-18 '!$C$56</definedName>
    <definedName name="_6h_E60">'Вильнюсская д.4 стр.п.11-18 '!$C$57</definedName>
    <definedName name="_6h_E61">'Вильнюсская д.4 стр.п.11-18 '!$C$58</definedName>
    <definedName name="_6h_E62">'Вильнюсская д.4 стр.п.11-18 '!$C$59</definedName>
    <definedName name="_6h_E63">'Вильнюсская д.4 стр.п.11-18 '!#REF!</definedName>
    <definedName name="_6h_E64">'Вильнюсская д.4 стр.п.11-18 '!$C$60</definedName>
    <definedName name="_6h_E65">'Вильнюсская д.4 стр.п.11-18 '!$C$61</definedName>
    <definedName name="_6h_E7">'Вильнюсская д.4 стр.п.11-18 '!$C$5</definedName>
    <definedName name="_6h_E8">'Вильнюсская д.4 стр.п.11-18 '!$C$6</definedName>
    <definedName name="_6h_E9">'Вильнюсская д.4 стр.п.11-18 '!$C$7</definedName>
    <definedName name="_6h_F10">'Вильнюсская д.4 стр.п.11-18 '!$D$8</definedName>
    <definedName name="_6h_F11">'Вильнюсская д.4 стр.п.11-18 '!$D$9</definedName>
    <definedName name="_6h_F12">'Вильнюсская д.4 стр.п.11-18 '!$D$10</definedName>
    <definedName name="_6h_F13">'Вильнюсская д.4 стр.п.11-18 '!$D$11</definedName>
    <definedName name="_6h_F14">'Вильнюсская д.4 стр.п.11-18 '!$D$12</definedName>
    <definedName name="_6h_F15">'Вильнюсская д.4 стр.п.11-18 '!$D$13</definedName>
    <definedName name="_6h_F16">'Вильнюсская д.4 стр.п.11-18 '!$D$14</definedName>
    <definedName name="_6h_F17">'Вильнюсская д.4 стр.п.11-18 '!$D$15</definedName>
    <definedName name="_6h_F18">'Вильнюсская д.4 стр.п.11-18 '!$D$16</definedName>
    <definedName name="_6h_F19">'Вильнюсская д.4 стр.п.11-18 '!$D$17</definedName>
    <definedName name="_6h_F20">'Вильнюсская д.4 стр.п.11-18 '!$D$18</definedName>
    <definedName name="_6h_F21">'Вильнюсская д.4 стр.п.11-18 '!$D$19</definedName>
    <definedName name="_6h_F22">'Вильнюсская д.4 стр.п.11-18 '!$D$20</definedName>
    <definedName name="_6h_F23">'Вильнюсская д.4 стр.п.11-18 '!$D$21</definedName>
    <definedName name="_6h_F24">'Вильнюсская д.4 стр.п.11-18 '!$D$22</definedName>
    <definedName name="_6h_F25">'Вильнюсская д.4 стр.п.11-18 '!$D$23</definedName>
    <definedName name="_6h_F26">'Вильнюсская д.4 стр.п.11-18 '!$D$24</definedName>
    <definedName name="_6h_F27">'Вильнюсская д.4 стр.п.11-18 '!$D$25</definedName>
    <definedName name="_6h_F28">'Вильнюсская д.4 стр.п.11-18 '!$D$26</definedName>
    <definedName name="_6h_F29">'Вильнюсская д.4 стр.п.11-18 '!$D$27</definedName>
    <definedName name="_6h_F30">'Вильнюсская д.4 стр.п.11-18 '!$D$28</definedName>
    <definedName name="_6h_F31">'Вильнюсская д.4 стр.п.11-18 '!$D$29</definedName>
    <definedName name="_6h_F32">'Вильнюсская д.4 стр.п.11-18 '!$D$30</definedName>
    <definedName name="_6h_F33">'Вильнюсская д.4 стр.п.11-18 '!$D$31</definedName>
    <definedName name="_6h_F34">'Вильнюсская д.4 стр.п.11-18 '!$D$32</definedName>
    <definedName name="_6h_F35">'Вильнюсская д.4 стр.п.11-18 '!$D$33</definedName>
    <definedName name="_6h_F36">'Вильнюсская д.4 стр.п.11-18 '!$D$34</definedName>
    <definedName name="_6h_F37">'Вильнюсская д.4 стр.п.11-18 '!$D$35</definedName>
    <definedName name="_6h_F38">'Вильнюсская д.4 стр.п.11-18 '!$D$36</definedName>
    <definedName name="_6h_F39">'Вильнюсская д.4 стр.п.11-18 '!$D$37</definedName>
    <definedName name="_6h_F40">'Вильнюсская д.4 стр.п.11-18 '!$D$38</definedName>
    <definedName name="_6h_F41">'Вильнюсская д.4 стр.п.11-18 '!$D$39</definedName>
    <definedName name="_6h_F42">'Вильнюсская д.4 стр.п.11-18 '!$D$40</definedName>
    <definedName name="_6h_F43">'Вильнюсская д.4 стр.п.11-18 '!$D$41</definedName>
    <definedName name="_6h_F44">'Вильнюсская д.4 стр.п.11-18 '!$D$42</definedName>
    <definedName name="_6h_F45">'Вильнюсская д.4 стр.п.11-18 '!$D$43</definedName>
    <definedName name="_6h_F46">'Вильнюсская д.4 стр.п.11-18 '!$D$44</definedName>
    <definedName name="_6h_F47">'Вильнюсская д.4 стр.п.11-18 '!$D$45</definedName>
    <definedName name="_6h_F48">'Вильнюсская д.4 стр.п.11-18 '!$D$46</definedName>
    <definedName name="_6h_F49">'Вильнюсская д.4 стр.п.11-18 '!$D$47</definedName>
    <definedName name="_6h_F50">'Вильнюсская д.4 стр.п.11-18 '!$D$48</definedName>
    <definedName name="_6h_F51">'Вильнюсская д.4 стр.п.11-18 '!$D$49</definedName>
    <definedName name="_6h_F52">'Вильнюсская д.4 стр.п.11-18 '!#REF!</definedName>
    <definedName name="_6h_F53">'Вильнюсская д.4 стр.п.11-18 '!$D$50</definedName>
    <definedName name="_6h_F54">'Вильнюсская д.4 стр.п.11-18 '!$D$51</definedName>
    <definedName name="_6h_F55">'Вильнюсская д.4 стр.п.11-18 '!$D$52</definedName>
    <definedName name="_6h_F56">'Вильнюсская д.4 стр.п.11-18 '!$D$53</definedName>
    <definedName name="_6h_F57">'Вильнюсская д.4 стр.п.11-18 '!$D$54</definedName>
    <definedName name="_6h_F58">'Вильнюсская д.4 стр.п.11-18 '!$D$55</definedName>
    <definedName name="_6h_F59">'Вильнюсская д.4 стр.п.11-18 '!$D$56</definedName>
    <definedName name="_6h_F60">'Вильнюсская д.4 стр.п.11-18 '!$D$57</definedName>
    <definedName name="_6h_F61">'Вильнюсская д.4 стр.п.11-18 '!$D$58</definedName>
    <definedName name="_6h_F62">'Вильнюсская д.4 стр.п.11-18 '!$D$59</definedName>
    <definedName name="_6h_F63">'Вильнюсская д.4 стр.п.11-18 '!#REF!</definedName>
    <definedName name="_6h_F64">'Вильнюсская д.4 стр.п.11-18 '!$D$60</definedName>
    <definedName name="_6h_F65">'Вильнюсская д.4 стр.п.11-18 '!$D$61</definedName>
    <definedName name="_6h_F7">'Вильнюсская д.4 стр.п.11-18 '!$D$5</definedName>
    <definedName name="_6h_F8">'Вильнюсская д.4 стр.п.11-18 '!$D$6</definedName>
    <definedName name="_6h_F9">'Вильнюсская д.4 стр.п.11-18 '!$D$7</definedName>
    <definedName name="_70h_E10">'Новоясеневский пр-т д.21 к.3'!$C$8</definedName>
    <definedName name="_70h_E11">'Новоясеневский пр-т д.21 к.3'!$C$9</definedName>
    <definedName name="_70h_E12">'Новоясеневский пр-т д.21 к.3'!$C$10</definedName>
    <definedName name="_70h_E13">'Новоясеневский пр-т д.21 к.3'!$C$11</definedName>
    <definedName name="_70h_E14">'Новоясеневский пр-т д.21 к.3'!$C$12</definedName>
    <definedName name="_70h_E15">'Новоясеневский пр-т д.21 к.3'!$C$13</definedName>
    <definedName name="_70h_E16">'Новоясеневский пр-т д.21 к.3'!$C$14</definedName>
    <definedName name="_70h_E17">'Новоясеневский пр-т д.21 к.3'!$C$15</definedName>
    <definedName name="_70h_E18">'Новоясеневский пр-т д.21 к.3'!$C$16</definedName>
    <definedName name="_70h_E19">'Новоясеневский пр-т д.21 к.3'!$C$17</definedName>
    <definedName name="_70h_E20">'Новоясеневский пр-т д.21 к.3'!$C$18</definedName>
    <definedName name="_70h_E21">'Новоясеневский пр-т д.21 к.3'!$C$19</definedName>
    <definedName name="_70h_E22">'Новоясеневский пр-т д.21 к.3'!$C$20</definedName>
    <definedName name="_70h_E23">'Новоясеневский пр-т д.21 к.3'!$C$21</definedName>
    <definedName name="_70h_E24">'Новоясеневский пр-т д.21 к.3'!$C$22</definedName>
    <definedName name="_70h_E25">'Новоясеневский пр-т д.21 к.3'!$C$23</definedName>
    <definedName name="_70h_E26">'Новоясеневский пр-т д.21 к.3'!$C$24</definedName>
    <definedName name="_70h_E27">'Новоясеневский пр-т д.21 к.3'!$C$25</definedName>
    <definedName name="_70h_E28">'Новоясеневский пр-т д.21 к.3'!$C$26</definedName>
    <definedName name="_70h_E29">'Новоясеневский пр-т д.21 к.3'!$C$27</definedName>
    <definedName name="_70h_E30">'Новоясеневский пр-т д.21 к.3'!$C$28</definedName>
    <definedName name="_70h_E31">'Новоясеневский пр-т д.21 к.3'!$C$29</definedName>
    <definedName name="_70h_E32">'Новоясеневский пр-т д.21 к.3'!$C$30</definedName>
    <definedName name="_70h_E33">'Новоясеневский пр-т д.21 к.3'!$C$31</definedName>
    <definedName name="_70h_E34">'Новоясеневский пр-т д.21 к.3'!$C$32</definedName>
    <definedName name="_70h_E35">'Новоясеневский пр-т д.21 к.3'!$C$33</definedName>
    <definedName name="_70h_E36">'Новоясеневский пр-т д.21 к.3'!$C$34</definedName>
    <definedName name="_70h_E37">'Новоясеневский пр-т д.21 к.3'!$C$35</definedName>
    <definedName name="_70h_E38">'Новоясеневский пр-т д.21 к.3'!$C$36</definedName>
    <definedName name="_70h_E39">'Новоясеневский пр-т д.21 к.3'!$C$37</definedName>
    <definedName name="_70h_E40">'Новоясеневский пр-т д.21 к.3'!$C$38</definedName>
    <definedName name="_70h_E41">'Новоясеневский пр-т д.21 к.3'!$C$39</definedName>
    <definedName name="_70h_E42">'Новоясеневский пр-т д.21 к.3'!$C$40</definedName>
    <definedName name="_70h_E43">'Новоясеневский пр-т д.21 к.3'!$C$41</definedName>
    <definedName name="_70h_E44">'Новоясеневский пр-т д.21 к.3'!$C$42</definedName>
    <definedName name="_70h_E45">'Новоясеневский пр-т д.21 к.3'!$C$43</definedName>
    <definedName name="_70h_E46">'Новоясеневский пр-т д.21 к.3'!$C$44</definedName>
    <definedName name="_70h_E47">'Новоясеневский пр-т д.21 к.3'!$C$45</definedName>
    <definedName name="_70h_E48">'Новоясеневский пр-т д.21 к.3'!$C$46</definedName>
    <definedName name="_70h_E49">'Новоясеневский пр-т д.21 к.3'!$C$47</definedName>
    <definedName name="_70h_E50">'Новоясеневский пр-т д.21 к.3'!$C$48</definedName>
    <definedName name="_70h_E51">'Новоясеневский пр-т д.21 к.3'!$C$49</definedName>
    <definedName name="_70h_E52">'Новоясеневский пр-т д.21 к.3'!#REF!</definedName>
    <definedName name="_70h_E53">'Новоясеневский пр-т д.21 к.3'!$C$50</definedName>
    <definedName name="_70h_E54">'Новоясеневский пр-т д.21 к.3'!$C$51</definedName>
    <definedName name="_70h_E55">'Новоясеневский пр-т д.21 к.3'!$C$52</definedName>
    <definedName name="_70h_E56">'Новоясеневский пр-т д.21 к.3'!$C$53</definedName>
    <definedName name="_70h_E57">'Новоясеневский пр-т д.21 к.3'!$C$54</definedName>
    <definedName name="_70h_E58">'Новоясеневский пр-т д.21 к.3'!$C$55</definedName>
    <definedName name="_70h_E59">'Новоясеневский пр-т д.21 к.3'!$C$56</definedName>
    <definedName name="_70h_E60">'Новоясеневский пр-т д.21 к.3'!$C$57</definedName>
    <definedName name="_70h_E61">'Новоясеневский пр-т д.21 к.3'!$C$58</definedName>
    <definedName name="_70h_E62">'Новоясеневский пр-т д.21 к.3'!$C$59</definedName>
    <definedName name="_70h_E63">'Новоясеневский пр-т д.21 к.3'!#REF!</definedName>
    <definedName name="_70h_E64">'Новоясеневский пр-т д.21 к.3'!$C$60</definedName>
    <definedName name="_70h_E65">'Новоясеневский пр-т д.21 к.3'!$C$61</definedName>
    <definedName name="_70h_E7">'Новоясеневский пр-т д.21 к.3'!$C$5</definedName>
    <definedName name="_70h_E8">'Новоясеневский пр-т д.21 к.3'!$C$6</definedName>
    <definedName name="_70h_E9">'Новоясеневский пр-т д.21 к.3'!$C$7</definedName>
    <definedName name="_70h_F10">'Новоясеневский пр-т д.21 к.3'!$D$8</definedName>
    <definedName name="_70h_F11">'Новоясеневский пр-т д.21 к.3'!$D$9</definedName>
    <definedName name="_70h_F12">'Новоясеневский пр-т д.21 к.3'!$D$10</definedName>
    <definedName name="_70h_F13">'Новоясеневский пр-т д.21 к.3'!$D$11</definedName>
    <definedName name="_70h_F14">'Новоясеневский пр-т д.21 к.3'!$D$12</definedName>
    <definedName name="_70h_F15">'Новоясеневский пр-т д.21 к.3'!$D$13</definedName>
    <definedName name="_70h_F16">'Новоясеневский пр-т д.21 к.3'!$D$14</definedName>
    <definedName name="_70h_F17">'Новоясеневский пр-т д.21 к.3'!$D$15</definedName>
    <definedName name="_70h_F18">'Новоясеневский пр-т д.21 к.3'!$D$16</definedName>
    <definedName name="_70h_F19">'Новоясеневский пр-т д.21 к.3'!$D$17</definedName>
    <definedName name="_70h_F20">'Новоясеневский пр-т д.21 к.3'!$D$18</definedName>
    <definedName name="_70h_F21">'Новоясеневский пр-т д.21 к.3'!$D$19</definedName>
    <definedName name="_70h_F22">'Новоясеневский пр-т д.21 к.3'!$D$20</definedName>
    <definedName name="_70h_F23">'Новоясеневский пр-т д.21 к.3'!$D$21</definedName>
    <definedName name="_70h_F24">'Новоясеневский пр-т д.21 к.3'!$D$22</definedName>
    <definedName name="_70h_F25">'Новоясеневский пр-т д.21 к.3'!$D$23</definedName>
    <definedName name="_70h_F26">'Новоясеневский пр-т д.21 к.3'!$D$24</definedName>
    <definedName name="_70h_F27">'Новоясеневский пр-т д.21 к.3'!$D$25</definedName>
    <definedName name="_70h_F28">'Новоясеневский пр-т д.21 к.3'!$D$26</definedName>
    <definedName name="_70h_F29">'Новоясеневский пр-т д.21 к.3'!$D$27</definedName>
    <definedName name="_70h_F30">'Новоясеневский пр-т д.21 к.3'!$D$28</definedName>
    <definedName name="_70h_F31">'Новоясеневский пр-т д.21 к.3'!$D$29</definedName>
    <definedName name="_70h_F32">'Новоясеневский пр-т д.21 к.3'!$D$30</definedName>
    <definedName name="_70h_F33">'Новоясеневский пр-т д.21 к.3'!$D$31</definedName>
    <definedName name="_70h_F34">'Новоясеневский пр-т д.21 к.3'!$D$32</definedName>
    <definedName name="_70h_F35">'Новоясеневский пр-т д.21 к.3'!$D$33</definedName>
    <definedName name="_70h_F36">'Новоясеневский пр-т д.21 к.3'!$D$34</definedName>
    <definedName name="_70h_F37">'Новоясеневский пр-т д.21 к.3'!$D$35</definedName>
    <definedName name="_70h_F38">'Новоясеневский пр-т д.21 к.3'!$D$36</definedName>
    <definedName name="_70h_F39">'Новоясеневский пр-т д.21 к.3'!$D$37</definedName>
    <definedName name="_70h_F40">'Новоясеневский пр-т д.21 к.3'!$D$38</definedName>
    <definedName name="_70h_F41">'Новоясеневский пр-т д.21 к.3'!$D$39</definedName>
    <definedName name="_70h_F42">'Новоясеневский пр-т д.21 к.3'!$D$40</definedName>
    <definedName name="_70h_F43">'Новоясеневский пр-т д.21 к.3'!$D$41</definedName>
    <definedName name="_70h_F44">'Новоясеневский пр-т д.21 к.3'!$D$42</definedName>
    <definedName name="_70h_F45">'Новоясеневский пр-т д.21 к.3'!$D$43</definedName>
    <definedName name="_70h_F46">'Новоясеневский пр-т д.21 к.3'!$D$44</definedName>
    <definedName name="_70h_F47">'Новоясеневский пр-т д.21 к.3'!$D$45</definedName>
    <definedName name="_70h_F48">'Новоясеневский пр-т д.21 к.3'!$D$46</definedName>
    <definedName name="_70h_F49">'Новоясеневский пр-т д.21 к.3'!$D$47</definedName>
    <definedName name="_70h_F50">'Новоясеневский пр-т д.21 к.3'!$D$48</definedName>
    <definedName name="_70h_F51">'Новоясеневский пр-т д.21 к.3'!$D$49</definedName>
    <definedName name="_70h_F52">'Новоясеневский пр-т д.21 к.3'!#REF!</definedName>
    <definedName name="_70h_F53">'Новоясеневский пр-т д.21 к.3'!$D$50</definedName>
    <definedName name="_70h_F54">'Новоясеневский пр-т д.21 к.3'!$D$51</definedName>
    <definedName name="_70h_F55">'Новоясеневский пр-т д.21 к.3'!$D$52</definedName>
    <definedName name="_70h_F56">'Новоясеневский пр-т д.21 к.3'!$D$53</definedName>
    <definedName name="_70h_F57">'Новоясеневский пр-т д.21 к.3'!$D$54</definedName>
    <definedName name="_70h_F58">'Новоясеневский пр-т д.21 к.3'!$D$55</definedName>
    <definedName name="_70h_F59">'Новоясеневский пр-т д.21 к.3'!$D$56</definedName>
    <definedName name="_70h_F60">'Новоясеневский пр-т д.21 к.3'!$D$57</definedName>
    <definedName name="_70h_F61">'Новоясеневский пр-т д.21 к.3'!$D$58</definedName>
    <definedName name="_70h_F62">'Новоясеневский пр-т д.21 к.3'!$D$59</definedName>
    <definedName name="_70h_F63">'Новоясеневский пр-т д.21 к.3'!#REF!</definedName>
    <definedName name="_70h_F64">'Новоясеневский пр-т д.21 к.3'!$D$60</definedName>
    <definedName name="_70h_F65">'Новоясеневский пр-т д.21 к.3'!$D$61</definedName>
    <definedName name="_70h_F7">'Новоясеневский пр-т д.21 к.3'!$D$5</definedName>
    <definedName name="_70h_F8">'Новоясеневский пр-т д.21 к.3'!$D$6</definedName>
    <definedName name="_70h_F9">'Новоясеневский пр-т д.21 к.3'!$D$7</definedName>
    <definedName name="_71h_E10">'Новоясеневский пр-т д.22 к.1'!$C$8</definedName>
    <definedName name="_71h_E11">'Новоясеневский пр-т д.22 к.1'!$C$9</definedName>
    <definedName name="_71h_E12">'Новоясеневский пр-т д.22 к.1'!$C$10</definedName>
    <definedName name="_71h_E13">'Новоясеневский пр-т д.22 к.1'!$C$11</definedName>
    <definedName name="_71h_E14">'Новоясеневский пр-т д.22 к.1'!$C$12</definedName>
    <definedName name="_71h_E15">'Новоясеневский пр-т д.22 к.1'!$C$13</definedName>
    <definedName name="_71h_E16">'Новоясеневский пр-т д.22 к.1'!$C$14</definedName>
    <definedName name="_71h_E17">'Новоясеневский пр-т д.22 к.1'!$C$15</definedName>
    <definedName name="_71h_E18">'Новоясеневский пр-т д.22 к.1'!$C$16</definedName>
    <definedName name="_71h_E19">'Новоясеневский пр-т д.22 к.1'!$C$17</definedName>
    <definedName name="_71h_E20">'Новоясеневский пр-т д.22 к.1'!$C$18</definedName>
    <definedName name="_71h_E21">'Новоясеневский пр-т д.22 к.1'!$C$19</definedName>
    <definedName name="_71h_E22">'Новоясеневский пр-т д.22 к.1'!$C$20</definedName>
    <definedName name="_71h_E23">'Новоясеневский пр-т д.22 к.1'!$C$21</definedName>
    <definedName name="_71h_E24">'Новоясеневский пр-т д.22 к.1'!$C$22</definedName>
    <definedName name="_71h_E25">'Новоясеневский пр-т д.22 к.1'!$C$23</definedName>
    <definedName name="_71h_E26">'Новоясеневский пр-т д.22 к.1'!$C$24</definedName>
    <definedName name="_71h_E27">'Новоясеневский пр-т д.22 к.1'!$C$25</definedName>
    <definedName name="_71h_E28">'Новоясеневский пр-т д.22 к.1'!$C$26</definedName>
    <definedName name="_71h_E29">'Новоясеневский пр-т д.22 к.1'!$C$27</definedName>
    <definedName name="_71h_E30">'Новоясеневский пр-т д.22 к.1'!$C$28</definedName>
    <definedName name="_71h_E31">'Новоясеневский пр-т д.22 к.1'!$C$29</definedName>
    <definedName name="_71h_E32">'Новоясеневский пр-т д.22 к.1'!$C$30</definedName>
    <definedName name="_71h_E33">'Новоясеневский пр-т д.22 к.1'!$C$31</definedName>
    <definedName name="_71h_E34">'Новоясеневский пр-т д.22 к.1'!$C$32</definedName>
    <definedName name="_71h_E35">'Новоясеневский пр-т д.22 к.1'!$C$33</definedName>
    <definedName name="_71h_E36">'Новоясеневский пр-т д.22 к.1'!$C$34</definedName>
    <definedName name="_71h_E37">'Новоясеневский пр-т д.22 к.1'!$C$35</definedName>
    <definedName name="_71h_E38">'Новоясеневский пр-т д.22 к.1'!$C$36</definedName>
    <definedName name="_71h_E39">'Новоясеневский пр-т д.22 к.1'!$C$37</definedName>
    <definedName name="_71h_E40">'Новоясеневский пр-т д.22 к.1'!$C$38</definedName>
    <definedName name="_71h_E41">'Новоясеневский пр-т д.22 к.1'!$C$39</definedName>
    <definedName name="_71h_E42">'Новоясеневский пр-т д.22 к.1'!$C$40</definedName>
    <definedName name="_71h_E43">'Новоясеневский пр-т д.22 к.1'!$C$41</definedName>
    <definedName name="_71h_E44">'Новоясеневский пр-т д.22 к.1'!$C$42</definedName>
    <definedName name="_71h_E45">'Новоясеневский пр-т д.22 к.1'!$C$43</definedName>
    <definedName name="_71h_E46">'Новоясеневский пр-т д.22 к.1'!$C$44</definedName>
    <definedName name="_71h_E47">'Новоясеневский пр-т д.22 к.1'!$C$45</definedName>
    <definedName name="_71h_E48">'Новоясеневский пр-т д.22 к.1'!$C$46</definedName>
    <definedName name="_71h_E49">'Новоясеневский пр-т д.22 к.1'!$C$47</definedName>
    <definedName name="_71h_E50">'Новоясеневский пр-т д.22 к.1'!$C$48</definedName>
    <definedName name="_71h_E51">'Новоясеневский пр-т д.22 к.1'!$C$49</definedName>
    <definedName name="_71h_E52">'Новоясеневский пр-т д.22 к.1'!#REF!</definedName>
    <definedName name="_71h_E53">'Новоясеневский пр-т д.22 к.1'!$C$50</definedName>
    <definedName name="_71h_E54">'Новоясеневский пр-т д.22 к.1'!$C$51</definedName>
    <definedName name="_71h_E55">'Новоясеневский пр-т д.22 к.1'!$C$52</definedName>
    <definedName name="_71h_E56">'Новоясеневский пр-т д.22 к.1'!$C$53</definedName>
    <definedName name="_71h_E57">'Новоясеневский пр-т д.22 к.1'!$C$54</definedName>
    <definedName name="_71h_E58">'Новоясеневский пр-т д.22 к.1'!$C$55</definedName>
    <definedName name="_71h_E59">'Новоясеневский пр-т д.22 к.1'!$C$56</definedName>
    <definedName name="_71h_E60">'Новоясеневский пр-т д.22 к.1'!$C$57</definedName>
    <definedName name="_71h_E61">'Новоясеневский пр-т д.22 к.1'!$C$58</definedName>
    <definedName name="_71h_E62">'Новоясеневский пр-т д.22 к.1'!$C$59</definedName>
    <definedName name="_71h_E63">'Новоясеневский пр-т д.22 к.1'!#REF!</definedName>
    <definedName name="_71h_E64">'Новоясеневский пр-т д.22 к.1'!$C$60</definedName>
    <definedName name="_71h_E65">'Новоясеневский пр-т д.22 к.1'!$C$61</definedName>
    <definedName name="_71h_E7">'Новоясеневский пр-т д.22 к.1'!$C$5</definedName>
    <definedName name="_71h_E8">'Новоясеневский пр-т д.22 к.1'!$C$6</definedName>
    <definedName name="_71h_E9">'Новоясеневский пр-т д.22 к.1'!$C$7</definedName>
    <definedName name="_71h_F10">'Новоясеневский пр-т д.22 к.1'!$D$8</definedName>
    <definedName name="_71h_F11">'Новоясеневский пр-т д.22 к.1'!$D$9</definedName>
    <definedName name="_71h_F12">'Новоясеневский пр-т д.22 к.1'!$D$10</definedName>
    <definedName name="_71h_F13">'Новоясеневский пр-т д.22 к.1'!$D$11</definedName>
    <definedName name="_71h_F14">'Новоясеневский пр-т д.22 к.1'!$D$12</definedName>
    <definedName name="_71h_F15">'Новоясеневский пр-т д.22 к.1'!$D$13</definedName>
    <definedName name="_71h_F16">'Новоясеневский пр-т д.22 к.1'!$D$14</definedName>
    <definedName name="_71h_F17">'Новоясеневский пр-т д.22 к.1'!$D$15</definedName>
    <definedName name="_71h_F18">'Новоясеневский пр-т д.22 к.1'!$D$16</definedName>
    <definedName name="_71h_F19">'Новоясеневский пр-т д.22 к.1'!$D$17</definedName>
    <definedName name="_71h_F20">'Новоясеневский пр-т д.22 к.1'!$D$18</definedName>
    <definedName name="_71h_F21">'Новоясеневский пр-т д.22 к.1'!$D$19</definedName>
    <definedName name="_71h_F22">'Новоясеневский пр-т д.22 к.1'!$D$20</definedName>
    <definedName name="_71h_F23">'Новоясеневский пр-т д.22 к.1'!$D$21</definedName>
    <definedName name="_71h_F24">'Новоясеневский пр-т д.22 к.1'!$D$22</definedName>
    <definedName name="_71h_F25">'Новоясеневский пр-т д.22 к.1'!$D$23</definedName>
    <definedName name="_71h_F26">'Новоясеневский пр-т д.22 к.1'!$D$24</definedName>
    <definedName name="_71h_F27">'Новоясеневский пр-т д.22 к.1'!$D$25</definedName>
    <definedName name="_71h_F28">'Новоясеневский пр-т д.22 к.1'!$D$26</definedName>
    <definedName name="_71h_F29">'Новоясеневский пр-т д.22 к.1'!$D$27</definedName>
    <definedName name="_71h_F30">'Новоясеневский пр-т д.22 к.1'!$D$28</definedName>
    <definedName name="_71h_F31">'Новоясеневский пр-т д.22 к.1'!$D$29</definedName>
    <definedName name="_71h_F32">'Новоясеневский пр-т д.22 к.1'!$D$30</definedName>
    <definedName name="_71h_F33">'Новоясеневский пр-т д.22 к.1'!$D$31</definedName>
    <definedName name="_71h_F34">'Новоясеневский пр-т д.22 к.1'!$D$32</definedName>
    <definedName name="_71h_F35">'Новоясеневский пр-т д.22 к.1'!$D$33</definedName>
    <definedName name="_71h_F36">'Новоясеневский пр-т д.22 к.1'!$D$34</definedName>
    <definedName name="_71h_F37">'Новоясеневский пр-т д.22 к.1'!$D$35</definedName>
    <definedName name="_71h_F38">'Новоясеневский пр-т д.22 к.1'!$D$36</definedName>
    <definedName name="_71h_F39">'Новоясеневский пр-т д.22 к.1'!$D$37</definedName>
    <definedName name="_71h_F40">'Новоясеневский пр-т д.22 к.1'!$D$38</definedName>
    <definedName name="_71h_F41">'Новоясеневский пр-т д.22 к.1'!$D$39</definedName>
    <definedName name="_71h_F42">'Новоясеневский пр-т д.22 к.1'!$D$40</definedName>
    <definedName name="_71h_F43">'Новоясеневский пр-т д.22 к.1'!$D$41</definedName>
    <definedName name="_71h_F44">'Новоясеневский пр-т д.22 к.1'!$D$42</definedName>
    <definedName name="_71h_F45">'Новоясеневский пр-т д.22 к.1'!$D$43</definedName>
    <definedName name="_71h_F46">'Новоясеневский пр-т д.22 к.1'!$D$44</definedName>
    <definedName name="_71h_F47">'Новоясеневский пр-т д.22 к.1'!$D$45</definedName>
    <definedName name="_71h_F48">'Новоясеневский пр-т д.22 к.1'!$D$46</definedName>
    <definedName name="_71h_F49">'Новоясеневский пр-т д.22 к.1'!$D$47</definedName>
    <definedName name="_71h_F50">'Новоясеневский пр-т д.22 к.1'!$D$48</definedName>
    <definedName name="_71h_F51">'Новоясеневский пр-т д.22 к.1'!$D$49</definedName>
    <definedName name="_71h_F52">'Новоясеневский пр-т д.22 к.1'!#REF!</definedName>
    <definedName name="_71h_F53">'Новоясеневский пр-т д.22 к.1'!$D$50</definedName>
    <definedName name="_71h_F54">'Новоясеневский пр-т д.22 к.1'!$D$51</definedName>
    <definedName name="_71h_F55">'Новоясеневский пр-т д.22 к.1'!$D$52</definedName>
    <definedName name="_71h_F56">'Новоясеневский пр-т д.22 к.1'!$D$53</definedName>
    <definedName name="_71h_F57">'Новоясеневский пр-т д.22 к.1'!$D$54</definedName>
    <definedName name="_71h_F58">'Новоясеневский пр-т д.22 к.1'!$D$55</definedName>
    <definedName name="_71h_F59">'Новоясеневский пр-т д.22 к.1'!$D$56</definedName>
    <definedName name="_71h_F60">'Новоясеневский пр-т д.22 к.1'!$D$57</definedName>
    <definedName name="_71h_F61">'Новоясеневский пр-т д.22 к.1'!$D$58</definedName>
    <definedName name="_71h_F62">'Новоясеневский пр-т д.22 к.1'!$D$59</definedName>
    <definedName name="_71h_F63">'Новоясеневский пр-т д.22 к.1'!#REF!</definedName>
    <definedName name="_71h_F64">'Новоясеневский пр-т д.22 к.1'!$D$60</definedName>
    <definedName name="_71h_F65">'Новоясеневский пр-т д.22 к.1'!$D$61</definedName>
    <definedName name="_71h_F7">'Новоясеневский пр-т д.22 к.1'!$D$5</definedName>
    <definedName name="_71h_F8">'Новоясеневский пр-т д.22 к.1'!$D$6</definedName>
    <definedName name="_71h_F9">'Новоясеневский пр-т д.22 к.1'!$D$7</definedName>
    <definedName name="_72h_E10">'Новоясеневский пр-т д.22 к.3'!$C$8</definedName>
    <definedName name="_72h_E11">'Новоясеневский пр-т д.22 к.3'!$C$9</definedName>
    <definedName name="_72h_E12">'Новоясеневский пр-т д.22 к.3'!$C$10</definedName>
    <definedName name="_72h_E13">'Новоясеневский пр-т д.22 к.3'!$C$11</definedName>
    <definedName name="_72h_E14">'Новоясеневский пр-т д.22 к.3'!$C$12</definedName>
    <definedName name="_72h_E15">'Новоясеневский пр-т д.22 к.3'!$C$13</definedName>
    <definedName name="_72h_E16">'Новоясеневский пр-т д.22 к.3'!$C$14</definedName>
    <definedName name="_72h_E17">'Новоясеневский пр-т д.22 к.3'!$C$15</definedName>
    <definedName name="_72h_E18">'Новоясеневский пр-т д.22 к.3'!$C$16</definedName>
    <definedName name="_72h_E19">'Новоясеневский пр-т д.22 к.3'!$C$17</definedName>
    <definedName name="_72h_E20">'Новоясеневский пр-т д.22 к.3'!$C$18</definedName>
    <definedName name="_72h_E21">'Новоясеневский пр-т д.22 к.3'!$C$19</definedName>
    <definedName name="_72h_E22">'Новоясеневский пр-т д.22 к.3'!$C$20</definedName>
    <definedName name="_72h_E23">'Новоясеневский пр-т д.22 к.3'!$C$21</definedName>
    <definedName name="_72h_E24">'Новоясеневский пр-т д.22 к.3'!$C$22</definedName>
    <definedName name="_72h_E25">'Новоясеневский пр-т д.22 к.3'!$C$23</definedName>
    <definedName name="_72h_E26">'Новоясеневский пр-т д.22 к.3'!$C$24</definedName>
    <definedName name="_72h_E27">'Новоясеневский пр-т д.22 к.3'!$C$25</definedName>
    <definedName name="_72h_E28">'Новоясеневский пр-т д.22 к.3'!$C$26</definedName>
    <definedName name="_72h_E29">'Новоясеневский пр-т д.22 к.3'!$C$27</definedName>
    <definedName name="_72h_E30">'Новоясеневский пр-т д.22 к.3'!$C$28</definedName>
    <definedName name="_72h_E31">'Новоясеневский пр-т д.22 к.3'!$C$29</definedName>
    <definedName name="_72h_E32">'Новоясеневский пр-т д.22 к.3'!$C$30</definedName>
    <definedName name="_72h_E33">'Новоясеневский пр-т д.22 к.3'!$C$31</definedName>
    <definedName name="_72h_E34">'Новоясеневский пр-т д.22 к.3'!$C$32</definedName>
    <definedName name="_72h_E35">'Новоясеневский пр-т д.22 к.3'!$C$33</definedName>
    <definedName name="_72h_E36">'Новоясеневский пр-т д.22 к.3'!$C$34</definedName>
    <definedName name="_72h_E37">'Новоясеневский пр-т д.22 к.3'!$C$35</definedName>
    <definedName name="_72h_E38">'Новоясеневский пр-т д.22 к.3'!$C$36</definedName>
    <definedName name="_72h_E39">'Новоясеневский пр-т д.22 к.3'!$C$37</definedName>
    <definedName name="_72h_E40">'Новоясеневский пр-т д.22 к.3'!$C$38</definedName>
    <definedName name="_72h_E41">'Новоясеневский пр-т д.22 к.3'!$C$39</definedName>
    <definedName name="_72h_E42">'Новоясеневский пр-т д.22 к.3'!$C$40</definedName>
    <definedName name="_72h_E43">'Новоясеневский пр-т д.22 к.3'!$C$41</definedName>
    <definedName name="_72h_E44">'Новоясеневский пр-т д.22 к.3'!$C$42</definedName>
    <definedName name="_72h_E45">'Новоясеневский пр-т д.22 к.3'!$C$43</definedName>
    <definedName name="_72h_E46">'Новоясеневский пр-т д.22 к.3'!$C$44</definedName>
    <definedName name="_72h_E47">'Новоясеневский пр-т д.22 к.3'!$C$45</definedName>
    <definedName name="_72h_E48">'Новоясеневский пр-т д.22 к.3'!$C$46</definedName>
    <definedName name="_72h_E49">'Новоясеневский пр-т д.22 к.3'!$C$47</definedName>
    <definedName name="_72h_E50">'Новоясеневский пр-т д.22 к.3'!$C$48</definedName>
    <definedName name="_72h_E51">'Новоясеневский пр-т д.22 к.3'!$C$49</definedName>
    <definedName name="_72h_E52">'Новоясеневский пр-т д.22 к.3'!#REF!</definedName>
    <definedName name="_72h_E53">'Новоясеневский пр-т д.22 к.3'!$C$50</definedName>
    <definedName name="_72h_E54">'Новоясеневский пр-т д.22 к.3'!$C$51</definedName>
    <definedName name="_72h_E55">'Новоясеневский пр-т д.22 к.3'!$C$52</definedName>
    <definedName name="_72h_E56">'Новоясеневский пр-т д.22 к.3'!$C$53</definedName>
    <definedName name="_72h_E57">'Новоясеневский пр-т д.22 к.3'!$C$54</definedName>
    <definedName name="_72h_E58">'Новоясеневский пр-т д.22 к.3'!$C$55</definedName>
    <definedName name="_72h_E59">'Новоясеневский пр-т д.22 к.3'!$C$56</definedName>
    <definedName name="_72h_E60">'Новоясеневский пр-т д.22 к.3'!$C$57</definedName>
    <definedName name="_72h_E61">'Новоясеневский пр-т д.22 к.3'!$C$58</definedName>
    <definedName name="_72h_E62">'Новоясеневский пр-т д.22 к.3'!$C$59</definedName>
    <definedName name="_72h_E63">'Новоясеневский пр-т д.22 к.3'!#REF!</definedName>
    <definedName name="_72h_E64">'Новоясеневский пр-т д.22 к.3'!$C$60</definedName>
    <definedName name="_72h_E65">'Новоясеневский пр-т д.22 к.3'!$C$61</definedName>
    <definedName name="_72h_E7">'Новоясеневский пр-т д.22 к.3'!$C$5</definedName>
    <definedName name="_72h_E8">'Новоясеневский пр-т д.22 к.3'!$C$6</definedName>
    <definedName name="_72h_E9">'Новоясеневский пр-т д.22 к.3'!$C$7</definedName>
    <definedName name="_72h_F10">'Новоясеневский пр-т д.22 к.3'!$D$8</definedName>
    <definedName name="_72h_F11">'Новоясеневский пр-т д.22 к.3'!$D$9</definedName>
    <definedName name="_72h_F12">'Новоясеневский пр-т д.22 к.3'!$D$10</definedName>
    <definedName name="_72h_F13">'Новоясеневский пр-т д.22 к.3'!$D$11</definedName>
    <definedName name="_72h_F14">'Новоясеневский пр-т д.22 к.3'!$D$12</definedName>
    <definedName name="_72h_F15">'Новоясеневский пр-т д.22 к.3'!$D$13</definedName>
    <definedName name="_72h_F16">'Новоясеневский пр-т д.22 к.3'!$D$14</definedName>
    <definedName name="_72h_F17">'Новоясеневский пр-т д.22 к.3'!$D$15</definedName>
    <definedName name="_72h_F18">'Новоясеневский пр-т д.22 к.3'!$D$16</definedName>
    <definedName name="_72h_F19">'Новоясеневский пр-т д.22 к.3'!$D$17</definedName>
    <definedName name="_72h_F20">'Новоясеневский пр-т д.22 к.3'!$D$18</definedName>
    <definedName name="_72h_F21">'Новоясеневский пр-т д.22 к.3'!$D$19</definedName>
    <definedName name="_72h_F22">'Новоясеневский пр-т д.22 к.3'!$D$20</definedName>
    <definedName name="_72h_F23">'Новоясеневский пр-т д.22 к.3'!$D$21</definedName>
    <definedName name="_72h_F24">'Новоясеневский пр-т д.22 к.3'!$D$22</definedName>
    <definedName name="_72h_F25">'Новоясеневский пр-т д.22 к.3'!$D$23</definedName>
    <definedName name="_72h_F26">'Новоясеневский пр-т д.22 к.3'!$D$24</definedName>
    <definedName name="_72h_F27">'Новоясеневский пр-т д.22 к.3'!$D$25</definedName>
    <definedName name="_72h_F28">'Новоясеневский пр-т д.22 к.3'!$D$26</definedName>
    <definedName name="_72h_F29">'Новоясеневский пр-т д.22 к.3'!$D$27</definedName>
    <definedName name="_72h_F30">'Новоясеневский пр-т д.22 к.3'!$D$28</definedName>
    <definedName name="_72h_F31">'Новоясеневский пр-т д.22 к.3'!$D$29</definedName>
    <definedName name="_72h_F32">'Новоясеневский пр-т д.22 к.3'!$D$30</definedName>
    <definedName name="_72h_F33">'Новоясеневский пр-т д.22 к.3'!$D$31</definedName>
    <definedName name="_72h_F34">'Новоясеневский пр-т д.22 к.3'!$D$32</definedName>
    <definedName name="_72h_F35">'Новоясеневский пр-т д.22 к.3'!$D$33</definedName>
    <definedName name="_72h_F36">'Новоясеневский пр-т д.22 к.3'!$D$34</definedName>
    <definedName name="_72h_F37">'Новоясеневский пр-т д.22 к.3'!$D$35</definedName>
    <definedName name="_72h_F38">'Новоясеневский пр-т д.22 к.3'!$D$36</definedName>
    <definedName name="_72h_F39">'Новоясеневский пр-т д.22 к.3'!$D$37</definedName>
    <definedName name="_72h_F40">'Новоясеневский пр-т д.22 к.3'!$D$38</definedName>
    <definedName name="_72h_F41">'Новоясеневский пр-т д.22 к.3'!$D$39</definedName>
    <definedName name="_72h_F42">'Новоясеневский пр-т д.22 к.3'!$D$40</definedName>
    <definedName name="_72h_F43">'Новоясеневский пр-т д.22 к.3'!$D$41</definedName>
    <definedName name="_72h_F44">'Новоясеневский пр-т д.22 к.3'!$D$42</definedName>
    <definedName name="_72h_F45">'Новоясеневский пр-т д.22 к.3'!$D$43</definedName>
    <definedName name="_72h_F46">'Новоясеневский пр-т д.22 к.3'!$D$44</definedName>
    <definedName name="_72h_F47">'Новоясеневский пр-т д.22 к.3'!$D$45</definedName>
    <definedName name="_72h_F48">'Новоясеневский пр-т д.22 к.3'!$D$46</definedName>
    <definedName name="_72h_F49">'Новоясеневский пр-т д.22 к.3'!$D$47</definedName>
    <definedName name="_72h_F50">'Новоясеневский пр-т д.22 к.3'!$D$48</definedName>
    <definedName name="_72h_F51">'Новоясеневский пр-т д.22 к.3'!$D$49</definedName>
    <definedName name="_72h_F52">'Новоясеневский пр-т д.22 к.3'!#REF!</definedName>
    <definedName name="_72h_F53">'Новоясеневский пр-т д.22 к.3'!$D$50</definedName>
    <definedName name="_72h_F54">'Новоясеневский пр-т д.22 к.3'!$D$51</definedName>
    <definedName name="_72h_F55">'Новоясеневский пр-т д.22 к.3'!$D$52</definedName>
    <definedName name="_72h_F56">'Новоясеневский пр-т д.22 к.3'!$D$53</definedName>
    <definedName name="_72h_F57">'Новоясеневский пр-т д.22 к.3'!$D$54</definedName>
    <definedName name="_72h_F58">'Новоясеневский пр-т д.22 к.3'!$D$55</definedName>
    <definedName name="_72h_F59">'Новоясеневский пр-т д.22 к.3'!$D$56</definedName>
    <definedName name="_72h_F60">'Новоясеневский пр-т д.22 к.3'!$D$57</definedName>
    <definedName name="_72h_F61">'Новоясеневский пр-т д.22 к.3'!$D$58</definedName>
    <definedName name="_72h_F62">'Новоясеневский пр-т д.22 к.3'!$D$59</definedName>
    <definedName name="_72h_F63">'Новоясеневский пр-т д.22 к.3'!#REF!</definedName>
    <definedName name="_72h_F64">'Новоясеневский пр-т д.22 к.3'!$D$60</definedName>
    <definedName name="_72h_F65">'Новоясеневский пр-т д.22 к.3'!$D$61</definedName>
    <definedName name="_72h_F7">'Новоясеневский пр-т д.22 к.3'!$D$5</definedName>
    <definedName name="_72h_F8">'Новоясеневский пр-т д.22 к.3'!$D$6</definedName>
    <definedName name="_72h_F9">'Новоясеневский пр-т д.22 к.3'!$D$7</definedName>
    <definedName name="_73h_E10">'Новоясеневский пр-т д.25|20'!$C$8</definedName>
    <definedName name="_73h_E11">'Новоясеневский пр-т д.25|20'!$C$9</definedName>
    <definedName name="_73h_E12">'Новоясеневский пр-т д.25|20'!$C$10</definedName>
    <definedName name="_73h_E13">'Новоясеневский пр-т д.25|20'!$C$11</definedName>
    <definedName name="_73h_E14">'Новоясеневский пр-т д.25|20'!$C$12</definedName>
    <definedName name="_73h_E15">'Новоясеневский пр-т д.25|20'!$C$13</definedName>
    <definedName name="_73h_E16">'Новоясеневский пр-т д.25|20'!$C$14</definedName>
    <definedName name="_73h_E17">'Новоясеневский пр-т д.25|20'!$C$15</definedName>
    <definedName name="_73h_E18">'Новоясеневский пр-т д.25|20'!$C$16</definedName>
    <definedName name="_73h_E19">'Новоясеневский пр-т д.25|20'!$C$17</definedName>
    <definedName name="_73h_E20">'Новоясеневский пр-т д.25|20'!$C$18</definedName>
    <definedName name="_73h_E21">'Новоясеневский пр-т д.25|20'!$C$19</definedName>
    <definedName name="_73h_E22">'Новоясеневский пр-т д.25|20'!$C$20</definedName>
    <definedName name="_73h_E23">'Новоясеневский пр-т д.25|20'!$C$21</definedName>
    <definedName name="_73h_E24">'Новоясеневский пр-т д.25|20'!$C$22</definedName>
    <definedName name="_73h_E25">'Новоясеневский пр-т д.25|20'!$C$23</definedName>
    <definedName name="_73h_E26">'Новоясеневский пр-т д.25|20'!$C$24</definedName>
    <definedName name="_73h_E27">'Новоясеневский пр-т д.25|20'!$C$25</definedName>
    <definedName name="_73h_E28">'Новоясеневский пр-т д.25|20'!$C$26</definedName>
    <definedName name="_73h_E29">'Новоясеневский пр-т д.25|20'!$C$27</definedName>
    <definedName name="_73h_E30">'Новоясеневский пр-т д.25|20'!$C$28</definedName>
    <definedName name="_73h_E31">'Новоясеневский пр-т д.25|20'!$C$29</definedName>
    <definedName name="_73h_E32">'Новоясеневский пр-т д.25|20'!$C$30</definedName>
    <definedName name="_73h_E33">'Новоясеневский пр-т д.25|20'!$C$31</definedName>
    <definedName name="_73h_E34">'Новоясеневский пр-т д.25|20'!$C$32</definedName>
    <definedName name="_73h_E35">'Новоясеневский пр-т д.25|20'!$C$33</definedName>
    <definedName name="_73h_E36">'Новоясеневский пр-т д.25|20'!$C$34</definedName>
    <definedName name="_73h_E37">'Новоясеневский пр-т д.25|20'!$C$35</definedName>
    <definedName name="_73h_E38">'Новоясеневский пр-т д.25|20'!$C$36</definedName>
    <definedName name="_73h_E39">'Новоясеневский пр-т д.25|20'!$C$37</definedName>
    <definedName name="_73h_E40">'Новоясеневский пр-т д.25|20'!$C$38</definedName>
    <definedName name="_73h_E41">'Новоясеневский пр-т д.25|20'!$C$39</definedName>
    <definedName name="_73h_E42">'Новоясеневский пр-т д.25|20'!$C$40</definedName>
    <definedName name="_73h_E43">'Новоясеневский пр-т д.25|20'!$C$41</definedName>
    <definedName name="_73h_E44">'Новоясеневский пр-т д.25|20'!$C$42</definedName>
    <definedName name="_73h_E45">'Новоясеневский пр-т д.25|20'!$C$43</definedName>
    <definedName name="_73h_E46">'Новоясеневский пр-т д.25|20'!$C$44</definedName>
    <definedName name="_73h_E47">'Новоясеневский пр-т д.25|20'!$C$45</definedName>
    <definedName name="_73h_E48">'Новоясеневский пр-т д.25|20'!$C$46</definedName>
    <definedName name="_73h_E49">'Новоясеневский пр-т д.25|20'!$C$47</definedName>
    <definedName name="_73h_E50">'Новоясеневский пр-т д.25|20'!$C$48</definedName>
    <definedName name="_73h_E51">'Новоясеневский пр-т д.25|20'!$C$49</definedName>
    <definedName name="_73h_E52">'Новоясеневский пр-т д.25|20'!#REF!</definedName>
    <definedName name="_73h_E53">'Новоясеневский пр-т д.25|20'!$C$50</definedName>
    <definedName name="_73h_E54">'Новоясеневский пр-т д.25|20'!$C$51</definedName>
    <definedName name="_73h_E55">'Новоясеневский пр-т д.25|20'!$C$52</definedName>
    <definedName name="_73h_E56">'Новоясеневский пр-т д.25|20'!$C$53</definedName>
    <definedName name="_73h_E57">'Новоясеневский пр-т д.25|20'!$C$54</definedName>
    <definedName name="_73h_E58">'Новоясеневский пр-т д.25|20'!$C$55</definedName>
    <definedName name="_73h_E59">'Новоясеневский пр-т д.25|20'!$C$56</definedName>
    <definedName name="_73h_E60">'Новоясеневский пр-т д.25|20'!$C$57</definedName>
    <definedName name="_73h_E61">'Новоясеневский пр-т д.25|20'!$C$58</definedName>
    <definedName name="_73h_E62">'Новоясеневский пр-т д.25|20'!$C$59</definedName>
    <definedName name="_73h_E63">'Новоясеневский пр-т д.25|20'!#REF!</definedName>
    <definedName name="_73h_E64">'Новоясеневский пр-т д.25|20'!$C$60</definedName>
    <definedName name="_73h_E65">'Новоясеневский пр-т д.25|20'!$C$61</definedName>
    <definedName name="_73h_E7">'Новоясеневский пр-т д.25|20'!$C$5</definedName>
    <definedName name="_73h_E8">'Новоясеневский пр-т д.25|20'!$C$6</definedName>
    <definedName name="_73h_E9">'Новоясеневский пр-т д.25|20'!$C$7</definedName>
    <definedName name="_73h_F10">'Новоясеневский пр-т д.25|20'!$D$8</definedName>
    <definedName name="_73h_F11">'Новоясеневский пр-т д.25|20'!$D$9</definedName>
    <definedName name="_73h_F12">'Новоясеневский пр-т д.25|20'!$D$10</definedName>
    <definedName name="_73h_F13">'Новоясеневский пр-т д.25|20'!$D$11</definedName>
    <definedName name="_73h_F14">'Новоясеневский пр-т д.25|20'!$D$12</definedName>
    <definedName name="_73h_F15">'Новоясеневский пр-т д.25|20'!$D$13</definedName>
    <definedName name="_73h_F16">'Новоясеневский пр-т д.25|20'!$D$14</definedName>
    <definedName name="_73h_F17">'Новоясеневский пр-т д.25|20'!$D$15</definedName>
    <definedName name="_73h_F18">'Новоясеневский пр-т д.25|20'!$D$16</definedName>
    <definedName name="_73h_F19">'Новоясеневский пр-т д.25|20'!$D$17</definedName>
    <definedName name="_73h_F20">'Новоясеневский пр-т д.25|20'!$D$18</definedName>
    <definedName name="_73h_F21">'Новоясеневский пр-т д.25|20'!$D$19</definedName>
    <definedName name="_73h_F22">'Новоясеневский пр-т д.25|20'!$D$20</definedName>
    <definedName name="_73h_F23">'Новоясеневский пр-т д.25|20'!$D$21</definedName>
    <definedName name="_73h_F24">'Новоясеневский пр-т д.25|20'!$D$22</definedName>
    <definedName name="_73h_F25">'Новоясеневский пр-т д.25|20'!$D$23</definedName>
    <definedName name="_73h_F26">'Новоясеневский пр-т д.25|20'!$D$24</definedName>
    <definedName name="_73h_F27">'Новоясеневский пр-т д.25|20'!$D$25</definedName>
    <definedName name="_73h_F28">'Новоясеневский пр-т д.25|20'!$D$26</definedName>
    <definedName name="_73h_F29">'Новоясеневский пр-т д.25|20'!$D$27</definedName>
    <definedName name="_73h_F30">'Новоясеневский пр-т д.25|20'!$D$28</definedName>
    <definedName name="_73h_F31">'Новоясеневский пр-т д.25|20'!$D$29</definedName>
    <definedName name="_73h_F32">'Новоясеневский пр-т д.25|20'!$D$30</definedName>
    <definedName name="_73h_F33">'Новоясеневский пр-т д.25|20'!$D$31</definedName>
    <definedName name="_73h_F34">'Новоясеневский пр-т д.25|20'!$D$32</definedName>
    <definedName name="_73h_F35">'Новоясеневский пр-т д.25|20'!$D$33</definedName>
    <definedName name="_73h_F36">'Новоясеневский пр-т д.25|20'!$D$34</definedName>
    <definedName name="_73h_F37">'Новоясеневский пр-т д.25|20'!$D$35</definedName>
    <definedName name="_73h_F38">'Новоясеневский пр-т д.25|20'!$D$36</definedName>
    <definedName name="_73h_F39">'Новоясеневский пр-т д.25|20'!$D$37</definedName>
    <definedName name="_73h_F40">'Новоясеневский пр-т д.25|20'!$D$38</definedName>
    <definedName name="_73h_F41">'Новоясеневский пр-т д.25|20'!$D$39</definedName>
    <definedName name="_73h_F42">'Новоясеневский пр-т д.25|20'!$D$40</definedName>
    <definedName name="_73h_F43">'Новоясеневский пр-т д.25|20'!$D$41</definedName>
    <definedName name="_73h_F44">'Новоясеневский пр-т д.25|20'!$D$42</definedName>
    <definedName name="_73h_F45">'Новоясеневский пр-т д.25|20'!$D$43</definedName>
    <definedName name="_73h_F46">'Новоясеневский пр-т д.25|20'!$D$44</definedName>
    <definedName name="_73h_F47">'Новоясеневский пр-т д.25|20'!$D$45</definedName>
    <definedName name="_73h_F48">'Новоясеневский пр-т д.25|20'!$D$46</definedName>
    <definedName name="_73h_F49">'Новоясеневский пр-т д.25|20'!$D$47</definedName>
    <definedName name="_73h_F50">'Новоясеневский пр-т д.25|20'!$D$48</definedName>
    <definedName name="_73h_F51">'Новоясеневский пр-т д.25|20'!$D$49</definedName>
    <definedName name="_73h_F52">'Новоясеневский пр-т д.25|20'!#REF!</definedName>
    <definedName name="_73h_F53">'Новоясеневский пр-т д.25|20'!$D$50</definedName>
    <definedName name="_73h_F54">'Новоясеневский пр-т д.25|20'!$D$51</definedName>
    <definedName name="_73h_F55">'Новоясеневский пр-т д.25|20'!$D$52</definedName>
    <definedName name="_73h_F56">'Новоясеневский пр-т д.25|20'!$D$53</definedName>
    <definedName name="_73h_F57">'Новоясеневский пр-т д.25|20'!$D$54</definedName>
    <definedName name="_73h_F58">'Новоясеневский пр-т д.25|20'!$D$55</definedName>
    <definedName name="_73h_F59">'Новоясеневский пр-т д.25|20'!$D$56</definedName>
    <definedName name="_73h_F60">'Новоясеневский пр-т д.25|20'!$D$57</definedName>
    <definedName name="_73h_F61">'Новоясеневский пр-т д.25|20'!$D$58</definedName>
    <definedName name="_73h_F62">'Новоясеневский пр-т д.25|20'!$D$59</definedName>
    <definedName name="_73h_F63">'Новоясеневский пр-т д.25|20'!#REF!</definedName>
    <definedName name="_73h_F64">'Новоясеневский пр-т д.25|20'!$D$60</definedName>
    <definedName name="_73h_F65">'Новоясеневский пр-т д.25|20'!$D$61</definedName>
    <definedName name="_73h_F7">'Новоясеневский пр-т д.25|20'!$D$5</definedName>
    <definedName name="_73h_F8">'Новоясеневский пр-т д.25|20'!$D$6</definedName>
    <definedName name="_73h_F9">'Новоясеневский пр-т д.25|20'!$D$7</definedName>
    <definedName name="_74h_E10">'Новоясеневский пр-т д.32 к.1'!$C$8</definedName>
    <definedName name="_74h_E11">'Новоясеневский пр-т д.32 к.1'!$C$9</definedName>
    <definedName name="_74h_E12">'Новоясеневский пр-т д.32 к.1'!$C$10</definedName>
    <definedName name="_74h_E13">'Новоясеневский пр-т д.32 к.1'!$C$11</definedName>
    <definedName name="_74h_E14">'Новоясеневский пр-т д.32 к.1'!$C$12</definedName>
    <definedName name="_74h_E15">'Новоясеневский пр-т д.32 к.1'!$C$13</definedName>
    <definedName name="_74h_E16">'Новоясеневский пр-т д.32 к.1'!$C$14</definedName>
    <definedName name="_74h_E17">'Новоясеневский пр-т д.32 к.1'!$C$15</definedName>
    <definedName name="_74h_E18">'Новоясеневский пр-т д.32 к.1'!$C$16</definedName>
    <definedName name="_74h_E19">'Новоясеневский пр-т д.32 к.1'!$C$17</definedName>
    <definedName name="_74h_E20">'Новоясеневский пр-т д.32 к.1'!$C$18</definedName>
    <definedName name="_74h_E21">'Новоясеневский пр-т д.32 к.1'!$C$19</definedName>
    <definedName name="_74h_E22">'Новоясеневский пр-т д.32 к.1'!$C$20</definedName>
    <definedName name="_74h_E23">'Новоясеневский пр-т д.32 к.1'!$C$21</definedName>
    <definedName name="_74h_E24">'Новоясеневский пр-т д.32 к.1'!$C$22</definedName>
    <definedName name="_74h_E25">'Новоясеневский пр-т д.32 к.1'!$C$23</definedName>
    <definedName name="_74h_E26">'Новоясеневский пр-т д.32 к.1'!$C$24</definedName>
    <definedName name="_74h_E27">'Новоясеневский пр-т д.32 к.1'!$C$25</definedName>
    <definedName name="_74h_E28">'Новоясеневский пр-т д.32 к.1'!$C$26</definedName>
    <definedName name="_74h_E29">'Новоясеневский пр-т д.32 к.1'!$C$27</definedName>
    <definedName name="_74h_E30">'Новоясеневский пр-т д.32 к.1'!$C$28</definedName>
    <definedName name="_74h_E31">'Новоясеневский пр-т д.32 к.1'!$C$29</definedName>
    <definedName name="_74h_E32">'Новоясеневский пр-т д.32 к.1'!$C$30</definedName>
    <definedName name="_74h_E33">'Новоясеневский пр-т д.32 к.1'!$C$31</definedName>
    <definedName name="_74h_E34">'Новоясеневский пр-т д.32 к.1'!$C$32</definedName>
    <definedName name="_74h_E35">'Новоясеневский пр-т д.32 к.1'!$C$33</definedName>
    <definedName name="_74h_E36">'Новоясеневский пр-т д.32 к.1'!$C$34</definedName>
    <definedName name="_74h_E37">'Новоясеневский пр-т д.32 к.1'!$C$35</definedName>
    <definedName name="_74h_E38">'Новоясеневский пр-т д.32 к.1'!$C$36</definedName>
    <definedName name="_74h_E39">'Новоясеневский пр-т д.32 к.1'!$C$37</definedName>
    <definedName name="_74h_E40">'Новоясеневский пр-т д.32 к.1'!$C$38</definedName>
    <definedName name="_74h_E41">'Новоясеневский пр-т д.32 к.1'!$C$39</definedName>
    <definedName name="_74h_E42">'Новоясеневский пр-т д.32 к.1'!$C$40</definedName>
    <definedName name="_74h_E43">'Новоясеневский пр-т д.32 к.1'!$C$41</definedName>
    <definedName name="_74h_E44">'Новоясеневский пр-т д.32 к.1'!$C$42</definedName>
    <definedName name="_74h_E45">'Новоясеневский пр-т д.32 к.1'!$C$43</definedName>
    <definedName name="_74h_E46">'Новоясеневский пр-т д.32 к.1'!$C$44</definedName>
    <definedName name="_74h_E47">'Новоясеневский пр-т д.32 к.1'!$C$45</definedName>
    <definedName name="_74h_E48">'Новоясеневский пр-т д.32 к.1'!$C$46</definedName>
    <definedName name="_74h_E49">'Новоясеневский пр-т д.32 к.1'!$C$47</definedName>
    <definedName name="_74h_E50">'Новоясеневский пр-т д.32 к.1'!$C$48</definedName>
    <definedName name="_74h_E51">'Новоясеневский пр-т д.32 к.1'!$C$49</definedName>
    <definedName name="_74h_E52">'Новоясеневский пр-т д.32 к.1'!#REF!</definedName>
    <definedName name="_74h_E53">'Новоясеневский пр-т д.32 к.1'!$C$50</definedName>
    <definedName name="_74h_E54">'Новоясеневский пр-т д.32 к.1'!$C$51</definedName>
    <definedName name="_74h_E55">'Новоясеневский пр-т д.32 к.1'!$C$52</definedName>
    <definedName name="_74h_E56">'Новоясеневский пр-т д.32 к.1'!$C$53</definedName>
    <definedName name="_74h_E57">'Новоясеневский пр-т д.32 к.1'!$C$54</definedName>
    <definedName name="_74h_E58">'Новоясеневский пр-т д.32 к.1'!$C$55</definedName>
    <definedName name="_74h_E59">'Новоясеневский пр-т д.32 к.1'!$C$56</definedName>
    <definedName name="_74h_E60">'Новоясеневский пр-т д.32 к.1'!$C$57</definedName>
    <definedName name="_74h_E61">'Новоясеневский пр-т д.32 к.1'!$C$58</definedName>
    <definedName name="_74h_E62">'Новоясеневский пр-т д.32 к.1'!$C$59</definedName>
    <definedName name="_74h_E63">'Новоясеневский пр-т д.32 к.1'!#REF!</definedName>
    <definedName name="_74h_E64">'Новоясеневский пр-т д.32 к.1'!$C$60</definedName>
    <definedName name="_74h_E65">'Новоясеневский пр-т д.32 к.1'!$C$61</definedName>
    <definedName name="_74h_E7">'Новоясеневский пр-т д.32 к.1'!$C$5</definedName>
    <definedName name="_74h_E8">'Новоясеневский пр-т д.32 к.1'!$C$6</definedName>
    <definedName name="_74h_E9">'Новоясеневский пр-т д.32 к.1'!$C$7</definedName>
    <definedName name="_74h_F10">'Новоясеневский пр-т д.32 к.1'!$D$8</definedName>
    <definedName name="_74h_F11">'Новоясеневский пр-т д.32 к.1'!$D$9</definedName>
    <definedName name="_74h_F12">'Новоясеневский пр-т д.32 к.1'!$D$10</definedName>
    <definedName name="_74h_F13">'Новоясеневский пр-т д.32 к.1'!$D$11</definedName>
    <definedName name="_74h_F14">'Новоясеневский пр-т д.32 к.1'!$D$12</definedName>
    <definedName name="_74h_F15">'Новоясеневский пр-т д.32 к.1'!$D$13</definedName>
    <definedName name="_74h_F16">'Новоясеневский пр-т д.32 к.1'!$D$14</definedName>
    <definedName name="_74h_F17">'Новоясеневский пр-т д.32 к.1'!$D$15</definedName>
    <definedName name="_74h_F18">'Новоясеневский пр-т д.32 к.1'!$D$16</definedName>
    <definedName name="_74h_F19">'Новоясеневский пр-т д.32 к.1'!$D$17</definedName>
    <definedName name="_74h_F20">'Новоясеневский пр-т д.32 к.1'!$D$18</definedName>
    <definedName name="_74h_F21">'Новоясеневский пр-т д.32 к.1'!$D$19</definedName>
    <definedName name="_74h_F22">'Новоясеневский пр-т д.32 к.1'!$D$20</definedName>
    <definedName name="_74h_F23">'Новоясеневский пр-т д.32 к.1'!$D$21</definedName>
    <definedName name="_74h_F24">'Новоясеневский пр-т д.32 к.1'!$D$22</definedName>
    <definedName name="_74h_F25">'Новоясеневский пр-т д.32 к.1'!$D$23</definedName>
    <definedName name="_74h_F26">'Новоясеневский пр-т д.32 к.1'!$D$24</definedName>
    <definedName name="_74h_F27">'Новоясеневский пр-т д.32 к.1'!$D$25</definedName>
    <definedName name="_74h_F28">'Новоясеневский пр-т д.32 к.1'!$D$26</definedName>
    <definedName name="_74h_F29">'Новоясеневский пр-т д.32 к.1'!$D$27</definedName>
    <definedName name="_74h_F30">'Новоясеневский пр-т д.32 к.1'!$D$28</definedName>
    <definedName name="_74h_F31">'Новоясеневский пр-т д.32 к.1'!$D$29</definedName>
    <definedName name="_74h_F32">'Новоясеневский пр-т д.32 к.1'!$D$30</definedName>
    <definedName name="_74h_F33">'Новоясеневский пр-т д.32 к.1'!$D$31</definedName>
    <definedName name="_74h_F34">'Новоясеневский пр-т д.32 к.1'!$D$32</definedName>
    <definedName name="_74h_F35">'Новоясеневский пр-т д.32 к.1'!$D$33</definedName>
    <definedName name="_74h_F36">'Новоясеневский пр-т д.32 к.1'!$D$34</definedName>
    <definedName name="_74h_F37">'Новоясеневский пр-т д.32 к.1'!$D$35</definedName>
    <definedName name="_74h_F38">'Новоясеневский пр-т д.32 к.1'!$D$36</definedName>
    <definedName name="_74h_F39">'Новоясеневский пр-т д.32 к.1'!$D$37</definedName>
    <definedName name="_74h_F40">'Новоясеневский пр-т д.32 к.1'!$D$38</definedName>
    <definedName name="_74h_F41">'Новоясеневский пр-т д.32 к.1'!$D$39</definedName>
    <definedName name="_74h_F42">'Новоясеневский пр-т д.32 к.1'!$D$40</definedName>
    <definedName name="_74h_F43">'Новоясеневский пр-т д.32 к.1'!$D$41</definedName>
    <definedName name="_74h_F44">'Новоясеневский пр-т д.32 к.1'!$D$42</definedName>
    <definedName name="_74h_F45">'Новоясеневский пр-т д.32 к.1'!$D$43</definedName>
    <definedName name="_74h_F46">'Новоясеневский пр-т д.32 к.1'!$D$44</definedName>
    <definedName name="_74h_F47">'Новоясеневский пр-т д.32 к.1'!$D$45</definedName>
    <definedName name="_74h_F48">'Новоясеневский пр-т д.32 к.1'!$D$46</definedName>
    <definedName name="_74h_F49">'Новоясеневский пр-т д.32 к.1'!$D$47</definedName>
    <definedName name="_74h_F50">'Новоясеневский пр-т д.32 к.1'!$D$48</definedName>
    <definedName name="_74h_F51">'Новоясеневский пр-т д.32 к.1'!$D$49</definedName>
    <definedName name="_74h_F52">'Новоясеневский пр-т д.32 к.1'!#REF!</definedName>
    <definedName name="_74h_F53">'Новоясеневский пр-т д.32 к.1'!$D$50</definedName>
    <definedName name="_74h_F54">'Новоясеневский пр-т д.32 к.1'!$D$51</definedName>
    <definedName name="_74h_F55">'Новоясеневский пр-т д.32 к.1'!$D$52</definedName>
    <definedName name="_74h_F56">'Новоясеневский пр-т д.32 к.1'!$D$53</definedName>
    <definedName name="_74h_F57">'Новоясеневский пр-т д.32 к.1'!$D$54</definedName>
    <definedName name="_74h_F58">'Новоясеневский пр-т д.32 к.1'!$D$55</definedName>
    <definedName name="_74h_F59">'Новоясеневский пр-т д.32 к.1'!$D$56</definedName>
    <definedName name="_74h_F60">'Новоясеневский пр-т д.32 к.1'!$D$57</definedName>
    <definedName name="_74h_F61">'Новоясеневский пр-т д.32 к.1'!$D$58</definedName>
    <definedName name="_74h_F62">'Новоясеневский пр-т д.32 к.1'!$D$59</definedName>
    <definedName name="_74h_F63">'Новоясеневский пр-т д.32 к.1'!#REF!</definedName>
    <definedName name="_74h_F64">'Новоясеневский пр-т д.32 к.1'!$D$60</definedName>
    <definedName name="_74h_F65">'Новоясеневский пр-т д.32 к.1'!$D$61</definedName>
    <definedName name="_74h_F7">'Новоясеневский пр-т д.32 к.1'!$D$5</definedName>
    <definedName name="_74h_F8">'Новоясеневский пр-т д.32 к.1'!$D$6</definedName>
    <definedName name="_74h_F9">'Новоясеневский пр-т д.32 к.1'!$D$7</definedName>
    <definedName name="_75h_E10">'Н~ д.32 к.3 стр.п.1-6 ЖСК Ясный'!$C$8</definedName>
    <definedName name="_75h_E11">'Н~ д.32 к.3 стр.п.1-6 ЖСК Ясный'!$C$9</definedName>
    <definedName name="_75h_E12">'Н~ д.32 к.3 стр.п.1-6 ЖСК Ясный'!$C$10</definedName>
    <definedName name="_75h_E13">'Н~ д.32 к.3 стр.п.1-6 ЖСК Ясный'!$C$11</definedName>
    <definedName name="_75h_E14">'Н~ д.32 к.3 стр.п.1-6 ЖСК Ясный'!$C$12</definedName>
    <definedName name="_75h_E15">'Н~ д.32 к.3 стр.п.1-6 ЖСК Ясный'!$C$13</definedName>
    <definedName name="_75h_E16">'Н~ д.32 к.3 стр.п.1-6 ЖСК Ясный'!$C$14</definedName>
    <definedName name="_75h_E17">'Н~ д.32 к.3 стр.п.1-6 ЖСК Ясный'!$C$15</definedName>
    <definedName name="_75h_E18">'Н~ д.32 к.3 стр.п.1-6 ЖСК Ясный'!$C$16</definedName>
    <definedName name="_75h_E19">'Н~ д.32 к.3 стр.п.1-6 ЖСК Ясный'!$C$17</definedName>
    <definedName name="_75h_E20">'Н~ д.32 к.3 стр.п.1-6 ЖСК Ясный'!$C$18</definedName>
    <definedName name="_75h_E21">'Н~ д.32 к.3 стр.п.1-6 ЖСК Ясный'!$C$19</definedName>
    <definedName name="_75h_E22">'Н~ д.32 к.3 стр.п.1-6 ЖСК Ясный'!$C$20</definedName>
    <definedName name="_75h_E23">'Н~ д.32 к.3 стр.п.1-6 ЖСК Ясный'!$C$21</definedName>
    <definedName name="_75h_E24">'Н~ д.32 к.3 стр.п.1-6 ЖСК Ясный'!$C$22</definedName>
    <definedName name="_75h_E25">'Н~ д.32 к.3 стр.п.1-6 ЖСК Ясный'!$C$23</definedName>
    <definedName name="_75h_E26">'Н~ д.32 к.3 стр.п.1-6 ЖСК Ясный'!$C$24</definedName>
    <definedName name="_75h_E27">'Н~ д.32 к.3 стр.п.1-6 ЖСК Ясный'!$C$25</definedName>
    <definedName name="_75h_E28">'Н~ д.32 к.3 стр.п.1-6 ЖСК Ясный'!$C$26</definedName>
    <definedName name="_75h_E29">'Н~ д.32 к.3 стр.п.1-6 ЖСК Ясный'!$C$27</definedName>
    <definedName name="_75h_E30">'Н~ д.32 к.3 стр.п.1-6 ЖСК Ясный'!$C$28</definedName>
    <definedName name="_75h_E31">'Н~ д.32 к.3 стр.п.1-6 ЖСК Ясный'!$C$29</definedName>
    <definedName name="_75h_E32">'Н~ д.32 к.3 стр.п.1-6 ЖСК Ясный'!$C$30</definedName>
    <definedName name="_75h_E33">'Н~ д.32 к.3 стр.п.1-6 ЖСК Ясный'!$C$31</definedName>
    <definedName name="_75h_E34">'Н~ д.32 к.3 стр.п.1-6 ЖСК Ясный'!$C$32</definedName>
    <definedName name="_75h_E35">'Н~ д.32 к.3 стр.п.1-6 ЖСК Ясный'!$C$33</definedName>
    <definedName name="_75h_E36">'Н~ д.32 к.3 стр.п.1-6 ЖСК Ясный'!$C$34</definedName>
    <definedName name="_75h_E37">'Н~ д.32 к.3 стр.п.1-6 ЖСК Ясный'!$C$35</definedName>
    <definedName name="_75h_E38">'Н~ д.32 к.3 стр.п.1-6 ЖСК Ясный'!$C$36</definedName>
    <definedName name="_75h_E39">'Н~ д.32 к.3 стр.п.1-6 ЖСК Ясный'!$C$37</definedName>
    <definedName name="_75h_E40">'Н~ д.32 к.3 стр.п.1-6 ЖСК Ясный'!$C$38</definedName>
    <definedName name="_75h_E41">'Н~ д.32 к.3 стр.п.1-6 ЖСК Ясный'!$C$39</definedName>
    <definedName name="_75h_E42">'Н~ д.32 к.3 стр.п.1-6 ЖСК Ясный'!$C$40</definedName>
    <definedName name="_75h_E43">'Н~ д.32 к.3 стр.п.1-6 ЖСК Ясный'!$C$41</definedName>
    <definedName name="_75h_E44">'Н~ д.32 к.3 стр.п.1-6 ЖСК Ясный'!$C$42</definedName>
    <definedName name="_75h_E45">'Н~ д.32 к.3 стр.п.1-6 ЖСК Ясный'!$C$43</definedName>
    <definedName name="_75h_E46">'Н~ д.32 к.3 стр.п.1-6 ЖСК Ясный'!$C$44</definedName>
    <definedName name="_75h_E47">'Н~ д.32 к.3 стр.п.1-6 ЖСК Ясный'!$C$45</definedName>
    <definedName name="_75h_E48">'Н~ д.32 к.3 стр.п.1-6 ЖСК Ясный'!$C$46</definedName>
    <definedName name="_75h_E49">'Н~ д.32 к.3 стр.п.1-6 ЖСК Ясный'!$C$47</definedName>
    <definedName name="_75h_E50">'Н~ д.32 к.3 стр.п.1-6 ЖСК Ясный'!$C$48</definedName>
    <definedName name="_75h_E51">'Н~ д.32 к.3 стр.п.1-6 ЖСК Ясный'!$C$49</definedName>
    <definedName name="_75h_E52">'Н~ д.32 к.3 стр.п.1-6 ЖСК Ясный'!#REF!</definedName>
    <definedName name="_75h_E53">'Н~ д.32 к.3 стр.п.1-6 ЖСК Ясный'!$C$50</definedName>
    <definedName name="_75h_E54">'Н~ д.32 к.3 стр.п.1-6 ЖСК Ясный'!$C$51</definedName>
    <definedName name="_75h_E55">'Н~ д.32 к.3 стр.п.1-6 ЖСК Ясный'!$C$52</definedName>
    <definedName name="_75h_E56">'Н~ д.32 к.3 стр.п.1-6 ЖСК Ясный'!$C$53</definedName>
    <definedName name="_75h_E57">'Н~ д.32 к.3 стр.п.1-6 ЖСК Ясный'!$C$54</definedName>
    <definedName name="_75h_E58">'Н~ д.32 к.3 стр.п.1-6 ЖСК Ясный'!$C$55</definedName>
    <definedName name="_75h_E59">'Н~ д.32 к.3 стр.п.1-6 ЖСК Ясный'!$C$56</definedName>
    <definedName name="_75h_E60">'Н~ д.32 к.3 стр.п.1-6 ЖСК Ясный'!$C$57</definedName>
    <definedName name="_75h_E61">'Н~ д.32 к.3 стр.п.1-6 ЖСК Ясный'!$C$58</definedName>
    <definedName name="_75h_E62">'Н~ д.32 к.3 стр.п.1-6 ЖСК Ясный'!$C$59</definedName>
    <definedName name="_75h_E63">'Н~ д.32 к.3 стр.п.1-6 ЖСК Ясный'!#REF!</definedName>
    <definedName name="_75h_E64">'Н~ д.32 к.3 стр.п.1-6 ЖСК Ясный'!$C$60</definedName>
    <definedName name="_75h_E65">'Н~ д.32 к.3 стр.п.1-6 ЖСК Ясный'!$C$61</definedName>
    <definedName name="_75h_E7">'Н~ д.32 к.3 стр.п.1-6 ЖСК Ясный'!$C$5</definedName>
    <definedName name="_75h_E8">'Н~ д.32 к.3 стр.п.1-6 ЖСК Ясный'!$C$6</definedName>
    <definedName name="_75h_E9">'Н~ д.32 к.3 стр.п.1-6 ЖСК Ясный'!$C$7</definedName>
    <definedName name="_75h_F10">'Н~ д.32 к.3 стр.п.1-6 ЖСК Ясный'!$D$8</definedName>
    <definedName name="_75h_F11">'Н~ д.32 к.3 стр.п.1-6 ЖСК Ясный'!$D$9</definedName>
    <definedName name="_75h_F12">'Н~ д.32 к.3 стр.п.1-6 ЖСК Ясный'!$D$10</definedName>
    <definedName name="_75h_F13">'Н~ д.32 к.3 стр.п.1-6 ЖСК Ясный'!$D$11</definedName>
    <definedName name="_75h_F14">'Н~ д.32 к.3 стр.п.1-6 ЖСК Ясный'!$D$12</definedName>
    <definedName name="_75h_F15">'Н~ д.32 к.3 стр.п.1-6 ЖСК Ясный'!$D$13</definedName>
    <definedName name="_75h_F16">'Н~ д.32 к.3 стр.п.1-6 ЖСК Ясный'!$D$14</definedName>
    <definedName name="_75h_F17">'Н~ д.32 к.3 стр.п.1-6 ЖСК Ясный'!$D$15</definedName>
    <definedName name="_75h_F18">'Н~ д.32 к.3 стр.п.1-6 ЖСК Ясный'!$D$16</definedName>
    <definedName name="_75h_F19">'Н~ д.32 к.3 стр.п.1-6 ЖСК Ясный'!$D$17</definedName>
    <definedName name="_75h_F20">'Н~ д.32 к.3 стр.п.1-6 ЖСК Ясный'!$D$18</definedName>
    <definedName name="_75h_F21">'Н~ д.32 к.3 стр.п.1-6 ЖСК Ясный'!$D$19</definedName>
    <definedName name="_75h_F22">'Н~ д.32 к.3 стр.п.1-6 ЖСК Ясный'!$D$20</definedName>
    <definedName name="_75h_F23">'Н~ д.32 к.3 стр.п.1-6 ЖСК Ясный'!$D$21</definedName>
    <definedName name="_75h_F24">'Н~ д.32 к.3 стр.п.1-6 ЖСК Ясный'!$D$22</definedName>
    <definedName name="_75h_F25">'Н~ д.32 к.3 стр.п.1-6 ЖСК Ясный'!$D$23</definedName>
    <definedName name="_75h_F26">'Н~ д.32 к.3 стр.п.1-6 ЖСК Ясный'!$D$24</definedName>
    <definedName name="_75h_F27">'Н~ д.32 к.3 стр.п.1-6 ЖСК Ясный'!$D$25</definedName>
    <definedName name="_75h_F28">'Н~ д.32 к.3 стр.п.1-6 ЖСК Ясный'!$D$26</definedName>
    <definedName name="_75h_F29">'Н~ д.32 к.3 стр.п.1-6 ЖСК Ясный'!$D$27</definedName>
    <definedName name="_75h_F30">'Н~ д.32 к.3 стр.п.1-6 ЖСК Ясный'!$D$28</definedName>
    <definedName name="_75h_F31">'Н~ д.32 к.3 стр.п.1-6 ЖСК Ясный'!$D$29</definedName>
    <definedName name="_75h_F32">'Н~ д.32 к.3 стр.п.1-6 ЖСК Ясный'!$D$30</definedName>
    <definedName name="_75h_F33">'Н~ д.32 к.3 стр.п.1-6 ЖСК Ясный'!$D$31</definedName>
    <definedName name="_75h_F34">'Н~ д.32 к.3 стр.п.1-6 ЖСК Ясный'!$D$32</definedName>
    <definedName name="_75h_F35">'Н~ д.32 к.3 стр.п.1-6 ЖСК Ясный'!$D$33</definedName>
    <definedName name="_75h_F36">'Н~ д.32 к.3 стр.п.1-6 ЖСК Ясный'!$D$34</definedName>
    <definedName name="_75h_F37">'Н~ д.32 к.3 стр.п.1-6 ЖСК Ясный'!$D$35</definedName>
    <definedName name="_75h_F38">'Н~ д.32 к.3 стр.п.1-6 ЖСК Ясный'!$D$36</definedName>
    <definedName name="_75h_F39">'Н~ д.32 к.3 стр.п.1-6 ЖСК Ясный'!$D$37</definedName>
    <definedName name="_75h_F40">'Н~ д.32 к.3 стр.п.1-6 ЖСК Ясный'!$D$38</definedName>
    <definedName name="_75h_F41">'Н~ д.32 к.3 стр.п.1-6 ЖСК Ясный'!$D$39</definedName>
    <definedName name="_75h_F42">'Н~ д.32 к.3 стр.п.1-6 ЖСК Ясный'!$D$40</definedName>
    <definedName name="_75h_F43">'Н~ д.32 к.3 стр.п.1-6 ЖСК Ясный'!$D$41</definedName>
    <definedName name="_75h_F44">'Н~ д.32 к.3 стр.п.1-6 ЖСК Ясный'!$D$42</definedName>
    <definedName name="_75h_F45">'Н~ д.32 к.3 стр.п.1-6 ЖСК Ясный'!$D$43</definedName>
    <definedName name="_75h_F46">'Н~ д.32 к.3 стр.п.1-6 ЖСК Ясный'!$D$44</definedName>
    <definedName name="_75h_F47">'Н~ д.32 к.3 стр.п.1-6 ЖСК Ясный'!$D$45</definedName>
    <definedName name="_75h_F48">'Н~ д.32 к.3 стр.п.1-6 ЖСК Ясный'!$D$46</definedName>
    <definedName name="_75h_F49">'Н~ д.32 к.3 стр.п.1-6 ЖСК Ясный'!$D$47</definedName>
    <definedName name="_75h_F50">'Н~ д.32 к.3 стр.п.1-6 ЖСК Ясный'!$D$48</definedName>
    <definedName name="_75h_F51">'Н~ д.32 к.3 стр.п.1-6 ЖСК Ясный'!$D$49</definedName>
    <definedName name="_75h_F52">'Н~ д.32 к.3 стр.п.1-6 ЖСК Ясный'!#REF!</definedName>
    <definedName name="_75h_F53">'Н~ д.32 к.3 стр.п.1-6 ЖСК Ясный'!$D$50</definedName>
    <definedName name="_75h_F54">'Н~ д.32 к.3 стр.п.1-6 ЖСК Ясный'!$D$51</definedName>
    <definedName name="_75h_F55">'Н~ д.32 к.3 стр.п.1-6 ЖСК Ясный'!$D$52</definedName>
    <definedName name="_75h_F56">'Н~ д.32 к.3 стр.п.1-6 ЖСК Ясный'!$D$53</definedName>
    <definedName name="_75h_F57">'Н~ д.32 к.3 стр.п.1-6 ЖСК Ясный'!$D$54</definedName>
    <definedName name="_75h_F58">'Н~ д.32 к.3 стр.п.1-6 ЖСК Ясный'!$D$55</definedName>
    <definedName name="_75h_F59">'Н~ д.32 к.3 стр.п.1-6 ЖСК Ясный'!$D$56</definedName>
    <definedName name="_75h_F60">'Н~ д.32 к.3 стр.п.1-6 ЖСК Ясный'!$D$57</definedName>
    <definedName name="_75h_F61">'Н~ д.32 к.3 стр.п.1-6 ЖСК Ясный'!$D$58</definedName>
    <definedName name="_75h_F62">'Н~ д.32 к.3 стр.п.1-6 ЖСК Ясный'!$D$59</definedName>
    <definedName name="_75h_F63">'Н~ д.32 к.3 стр.п.1-6 ЖСК Ясный'!#REF!</definedName>
    <definedName name="_75h_F64">'Н~ д.32 к.3 стр.п.1-6 ЖСК Ясный'!$D$60</definedName>
    <definedName name="_75h_F65">'Н~ д.32 к.3 стр.п.1-6 ЖСК Ясный'!$D$61</definedName>
    <definedName name="_75h_F7">'Н~ д.32 к.3 стр.п.1-6 ЖСК Ясный'!$D$5</definedName>
    <definedName name="_75h_F8">'Н~ д.32 к.3 стр.п.1-6 ЖСК Ясный'!$D$6</definedName>
    <definedName name="_75h_F9">'Н~ д.32 к.3 стр.п.1-6 ЖСК Ясный'!$D$7</definedName>
    <definedName name="_76h_E10">'Новояс~ д.32 к.3 стр.п.7-15 '!$C$8</definedName>
    <definedName name="_76h_E11">'Новояс~ д.32 к.3 стр.п.7-15 '!$C$9</definedName>
    <definedName name="_76h_E12">'Новояс~ д.32 к.3 стр.п.7-15 '!$C$10</definedName>
    <definedName name="_76h_E13">'Новояс~ д.32 к.3 стр.п.7-15 '!$C$11</definedName>
    <definedName name="_76h_E14">'Новояс~ д.32 к.3 стр.п.7-15 '!$C$12</definedName>
    <definedName name="_76h_E15">'Новояс~ д.32 к.3 стр.п.7-15 '!$C$13</definedName>
    <definedName name="_76h_E16">'Новояс~ д.32 к.3 стр.п.7-15 '!$C$14</definedName>
    <definedName name="_76h_E17">'Новояс~ д.32 к.3 стр.п.7-15 '!$C$15</definedName>
    <definedName name="_76h_E18">'Новояс~ д.32 к.3 стр.п.7-15 '!$C$16</definedName>
    <definedName name="_76h_E19">'Новояс~ д.32 к.3 стр.п.7-15 '!$C$17</definedName>
    <definedName name="_76h_E20">'Новояс~ д.32 к.3 стр.п.7-15 '!$C$18</definedName>
    <definedName name="_76h_E21">'Новояс~ д.32 к.3 стр.п.7-15 '!$C$19</definedName>
    <definedName name="_76h_E22">'Новояс~ д.32 к.3 стр.п.7-15 '!$C$20</definedName>
    <definedName name="_76h_E23">'Новояс~ д.32 к.3 стр.п.7-15 '!$C$21</definedName>
    <definedName name="_76h_E24">'Новояс~ д.32 к.3 стр.п.7-15 '!$C$22</definedName>
    <definedName name="_76h_E25">'Новояс~ д.32 к.3 стр.п.7-15 '!$C$23</definedName>
    <definedName name="_76h_E26">'Новояс~ д.32 к.3 стр.п.7-15 '!$C$24</definedName>
    <definedName name="_76h_E27">'Новояс~ д.32 к.3 стр.п.7-15 '!$C$25</definedName>
    <definedName name="_76h_E28">'Новояс~ д.32 к.3 стр.п.7-15 '!$C$26</definedName>
    <definedName name="_76h_E29">'Новояс~ д.32 к.3 стр.п.7-15 '!$C$27</definedName>
    <definedName name="_76h_E30">'Новояс~ д.32 к.3 стр.п.7-15 '!$C$28</definedName>
    <definedName name="_76h_E31">'Новояс~ д.32 к.3 стр.п.7-15 '!$C$29</definedName>
    <definedName name="_76h_E32">'Новояс~ д.32 к.3 стр.п.7-15 '!$C$30</definedName>
    <definedName name="_76h_E33">'Новояс~ д.32 к.3 стр.п.7-15 '!$C$31</definedName>
    <definedName name="_76h_E34">'Новояс~ д.32 к.3 стр.п.7-15 '!$C$32</definedName>
    <definedName name="_76h_E35">'Новояс~ д.32 к.3 стр.п.7-15 '!$C$33</definedName>
    <definedName name="_76h_E36">'Новояс~ д.32 к.3 стр.п.7-15 '!$C$34</definedName>
    <definedName name="_76h_E37">'Новояс~ д.32 к.3 стр.п.7-15 '!$C$35</definedName>
    <definedName name="_76h_E38">'Новояс~ д.32 к.3 стр.п.7-15 '!$C$36</definedName>
    <definedName name="_76h_E39">'Новояс~ д.32 к.3 стр.п.7-15 '!$C$37</definedName>
    <definedName name="_76h_E40">'Новояс~ д.32 к.3 стр.п.7-15 '!$C$38</definedName>
    <definedName name="_76h_E41">'Новояс~ д.32 к.3 стр.п.7-15 '!$C$39</definedName>
    <definedName name="_76h_E42">'Новояс~ д.32 к.3 стр.п.7-15 '!$C$40</definedName>
    <definedName name="_76h_E43">'Новояс~ д.32 к.3 стр.п.7-15 '!$C$41</definedName>
    <definedName name="_76h_E44">'Новояс~ д.32 к.3 стр.п.7-15 '!$C$42</definedName>
    <definedName name="_76h_E45">'Новояс~ д.32 к.3 стр.п.7-15 '!$C$43</definedName>
    <definedName name="_76h_E46">'Новояс~ д.32 к.3 стр.п.7-15 '!$C$44</definedName>
    <definedName name="_76h_E47">'Новояс~ д.32 к.3 стр.п.7-15 '!$C$45</definedName>
    <definedName name="_76h_E48">'Новояс~ д.32 к.3 стр.п.7-15 '!$C$46</definedName>
    <definedName name="_76h_E49">'Новояс~ д.32 к.3 стр.п.7-15 '!$C$47</definedName>
    <definedName name="_76h_E50">'Новояс~ д.32 к.3 стр.п.7-15 '!$C$48</definedName>
    <definedName name="_76h_E51">'Новояс~ д.32 к.3 стр.п.7-15 '!$C$49</definedName>
    <definedName name="_76h_E52">'Новояс~ д.32 к.3 стр.п.7-15 '!#REF!</definedName>
    <definedName name="_76h_E53">'Новояс~ д.32 к.3 стр.п.7-15 '!$C$50</definedName>
    <definedName name="_76h_E54">'Новояс~ д.32 к.3 стр.п.7-15 '!$C$51</definedName>
    <definedName name="_76h_E55">'Новояс~ д.32 к.3 стр.п.7-15 '!$C$52</definedName>
    <definedName name="_76h_E56">'Новояс~ д.32 к.3 стр.п.7-15 '!$C$53</definedName>
    <definedName name="_76h_E57">'Новояс~ д.32 к.3 стр.п.7-15 '!$C$54</definedName>
    <definedName name="_76h_E58">'Новояс~ д.32 к.3 стр.п.7-15 '!$C$55</definedName>
    <definedName name="_76h_E59">'Новояс~ д.32 к.3 стр.п.7-15 '!$C$56</definedName>
    <definedName name="_76h_E60">'Новояс~ д.32 к.3 стр.п.7-15 '!$C$57</definedName>
    <definedName name="_76h_E61">'Новояс~ д.32 к.3 стр.п.7-15 '!$C$58</definedName>
    <definedName name="_76h_E62">'Новояс~ д.32 к.3 стр.п.7-15 '!$C$59</definedName>
    <definedName name="_76h_E63">'Новояс~ д.32 к.3 стр.п.7-15 '!#REF!</definedName>
    <definedName name="_76h_E64">'Новояс~ д.32 к.3 стр.п.7-15 '!$C$60</definedName>
    <definedName name="_76h_E65">'Новояс~ д.32 к.3 стр.п.7-15 '!$C$61</definedName>
    <definedName name="_76h_E7">'Новояс~ д.32 к.3 стр.п.7-15 '!$C$5</definedName>
    <definedName name="_76h_E8">'Новояс~ д.32 к.3 стр.п.7-15 '!$C$6</definedName>
    <definedName name="_76h_E9">'Новояс~ д.32 к.3 стр.п.7-15 '!$C$7</definedName>
    <definedName name="_76h_F10">'Новояс~ д.32 к.3 стр.п.7-15 '!$D$8</definedName>
    <definedName name="_76h_F11">'Новояс~ д.32 к.3 стр.п.7-15 '!$D$9</definedName>
    <definedName name="_76h_F12">'Новояс~ д.32 к.3 стр.п.7-15 '!$D$10</definedName>
    <definedName name="_76h_F13">'Новояс~ д.32 к.3 стр.п.7-15 '!$D$11</definedName>
    <definedName name="_76h_F14">'Новояс~ д.32 к.3 стр.п.7-15 '!$D$12</definedName>
    <definedName name="_76h_F15">'Новояс~ д.32 к.3 стр.п.7-15 '!$D$13</definedName>
    <definedName name="_76h_F16">'Новояс~ д.32 к.3 стр.п.7-15 '!$D$14</definedName>
    <definedName name="_76h_F17">'Новояс~ д.32 к.3 стр.п.7-15 '!$D$15</definedName>
    <definedName name="_76h_F18">'Новояс~ д.32 к.3 стр.п.7-15 '!$D$16</definedName>
    <definedName name="_76h_F19">'Новояс~ д.32 к.3 стр.п.7-15 '!$D$17</definedName>
    <definedName name="_76h_F20">'Новояс~ д.32 к.3 стр.п.7-15 '!$D$18</definedName>
    <definedName name="_76h_F21">'Новояс~ д.32 к.3 стр.п.7-15 '!$D$19</definedName>
    <definedName name="_76h_F22">'Новояс~ д.32 к.3 стр.п.7-15 '!$D$20</definedName>
    <definedName name="_76h_F23">'Новояс~ д.32 к.3 стр.п.7-15 '!$D$21</definedName>
    <definedName name="_76h_F24">'Новояс~ д.32 к.3 стр.п.7-15 '!$D$22</definedName>
    <definedName name="_76h_F25">'Новояс~ д.32 к.3 стр.п.7-15 '!$D$23</definedName>
    <definedName name="_76h_F26">'Новояс~ д.32 к.3 стр.п.7-15 '!$D$24</definedName>
    <definedName name="_76h_F27">'Новояс~ д.32 к.3 стр.п.7-15 '!$D$25</definedName>
    <definedName name="_76h_F28">'Новояс~ д.32 к.3 стр.п.7-15 '!$D$26</definedName>
    <definedName name="_76h_F29">'Новояс~ д.32 к.3 стр.п.7-15 '!$D$27</definedName>
    <definedName name="_76h_F30">'Новояс~ д.32 к.3 стр.п.7-15 '!$D$28</definedName>
    <definedName name="_76h_F31">'Новояс~ д.32 к.3 стр.п.7-15 '!$D$29</definedName>
    <definedName name="_76h_F32">'Новояс~ д.32 к.3 стр.п.7-15 '!$D$30</definedName>
    <definedName name="_76h_F33">'Новояс~ д.32 к.3 стр.п.7-15 '!$D$31</definedName>
    <definedName name="_76h_F34">'Новояс~ д.32 к.3 стр.п.7-15 '!$D$32</definedName>
    <definedName name="_76h_F35">'Новояс~ д.32 к.3 стр.п.7-15 '!$D$33</definedName>
    <definedName name="_76h_F36">'Новояс~ д.32 к.3 стр.п.7-15 '!$D$34</definedName>
    <definedName name="_76h_F37">'Новояс~ д.32 к.3 стр.п.7-15 '!$D$35</definedName>
    <definedName name="_76h_F38">'Новояс~ д.32 к.3 стр.п.7-15 '!$D$36</definedName>
    <definedName name="_76h_F39">'Новояс~ д.32 к.3 стр.п.7-15 '!$D$37</definedName>
    <definedName name="_76h_F40">'Новояс~ д.32 к.3 стр.п.7-15 '!$D$38</definedName>
    <definedName name="_76h_F41">'Новояс~ д.32 к.3 стр.п.7-15 '!$D$39</definedName>
    <definedName name="_76h_F42">'Новояс~ д.32 к.3 стр.п.7-15 '!$D$40</definedName>
    <definedName name="_76h_F43">'Новояс~ д.32 к.3 стр.п.7-15 '!$D$41</definedName>
    <definedName name="_76h_F44">'Новояс~ д.32 к.3 стр.п.7-15 '!$D$42</definedName>
    <definedName name="_76h_F45">'Новояс~ д.32 к.3 стр.п.7-15 '!$D$43</definedName>
    <definedName name="_76h_F46">'Новояс~ д.32 к.3 стр.п.7-15 '!$D$44</definedName>
    <definedName name="_76h_F47">'Новояс~ д.32 к.3 стр.п.7-15 '!$D$45</definedName>
    <definedName name="_76h_F48">'Новояс~ д.32 к.3 стр.п.7-15 '!$D$46</definedName>
    <definedName name="_76h_F49">'Новояс~ д.32 к.3 стр.п.7-15 '!$D$47</definedName>
    <definedName name="_76h_F50">'Новояс~ д.32 к.3 стр.п.7-15 '!$D$48</definedName>
    <definedName name="_76h_F51">'Новояс~ д.32 к.3 стр.п.7-15 '!$D$49</definedName>
    <definedName name="_76h_F52">'Новояс~ д.32 к.3 стр.п.7-15 '!#REF!</definedName>
    <definedName name="_76h_F53">'Новояс~ д.32 к.3 стр.п.7-15 '!$D$50</definedName>
    <definedName name="_76h_F54">'Новояс~ д.32 к.3 стр.п.7-15 '!$D$51</definedName>
    <definedName name="_76h_F55">'Новояс~ д.32 к.3 стр.п.7-15 '!$D$52</definedName>
    <definedName name="_76h_F56">'Новояс~ д.32 к.3 стр.п.7-15 '!$D$53</definedName>
    <definedName name="_76h_F57">'Новояс~ д.32 к.3 стр.п.7-15 '!$D$54</definedName>
    <definedName name="_76h_F58">'Новояс~ д.32 к.3 стр.п.7-15 '!$D$55</definedName>
    <definedName name="_76h_F59">'Новояс~ д.32 к.3 стр.п.7-15 '!$D$56</definedName>
    <definedName name="_76h_F60">'Новояс~ д.32 к.3 стр.п.7-15 '!$D$57</definedName>
    <definedName name="_76h_F61">'Новояс~ д.32 к.3 стр.п.7-15 '!$D$58</definedName>
    <definedName name="_76h_F62">'Новояс~ д.32 к.3 стр.п.7-15 '!$D$59</definedName>
    <definedName name="_76h_F63">'Новояс~ д.32 к.3 стр.п.7-15 '!#REF!</definedName>
    <definedName name="_76h_F64">'Новояс~ д.32 к.3 стр.п.7-15 '!$D$60</definedName>
    <definedName name="_76h_F65">'Новояс~ д.32 к.3 стр.п.7-15 '!$D$61</definedName>
    <definedName name="_76h_F7">'Новояс~ д.32 к.3 стр.п.7-15 '!$D$5</definedName>
    <definedName name="_76h_F8">'Новояс~ д.32 к.3 стр.п.7-15 '!$D$6</definedName>
    <definedName name="_76h_F9">'Новояс~ д.32 к.3 стр.п.7-15 '!$D$7</definedName>
    <definedName name="_77h_E10">'Новоясеневский пр-т д.38 к.1'!$C$8</definedName>
    <definedName name="_77h_E11">'Новоясеневский пр-т д.38 к.1'!$C$9</definedName>
    <definedName name="_77h_E12">'Новоясеневский пр-т д.38 к.1'!$C$10</definedName>
    <definedName name="_77h_E13">'Новоясеневский пр-т д.38 к.1'!$C$11</definedName>
    <definedName name="_77h_E14">'Новоясеневский пр-т д.38 к.1'!$C$12</definedName>
    <definedName name="_77h_E15">'Новоясеневский пр-т д.38 к.1'!$C$13</definedName>
    <definedName name="_77h_E16">'Новоясеневский пр-т д.38 к.1'!$C$14</definedName>
    <definedName name="_77h_E17">'Новоясеневский пр-т д.38 к.1'!$C$15</definedName>
    <definedName name="_77h_E18">'Новоясеневский пр-т д.38 к.1'!$C$16</definedName>
    <definedName name="_77h_E19">'Новоясеневский пр-т д.38 к.1'!$C$17</definedName>
    <definedName name="_77h_E20">'Новоясеневский пр-т д.38 к.1'!$C$18</definedName>
    <definedName name="_77h_E21">'Новоясеневский пр-т д.38 к.1'!$C$19</definedName>
    <definedName name="_77h_E22">'Новоясеневский пр-т д.38 к.1'!$C$20</definedName>
    <definedName name="_77h_E23">'Новоясеневский пр-т д.38 к.1'!$C$21</definedName>
    <definedName name="_77h_E24">'Новоясеневский пр-т д.38 к.1'!$C$22</definedName>
    <definedName name="_77h_E25">'Новоясеневский пр-т д.38 к.1'!$C$23</definedName>
    <definedName name="_77h_E26">'Новоясеневский пр-т д.38 к.1'!$C$24</definedName>
    <definedName name="_77h_E27">'Новоясеневский пр-т д.38 к.1'!$C$25</definedName>
    <definedName name="_77h_E28">'Новоясеневский пр-т д.38 к.1'!$C$26</definedName>
    <definedName name="_77h_E29">'Новоясеневский пр-т д.38 к.1'!$C$27</definedName>
    <definedName name="_77h_E30">'Новоясеневский пр-т д.38 к.1'!$C$28</definedName>
    <definedName name="_77h_E31">'Новоясеневский пр-т д.38 к.1'!$C$29</definedName>
    <definedName name="_77h_E32">'Новоясеневский пр-т д.38 к.1'!$C$30</definedName>
    <definedName name="_77h_E33">'Новоясеневский пр-т д.38 к.1'!$C$31</definedName>
    <definedName name="_77h_E34">'Новоясеневский пр-т д.38 к.1'!$C$32</definedName>
    <definedName name="_77h_E35">'Новоясеневский пр-т д.38 к.1'!$C$33</definedName>
    <definedName name="_77h_E36">'Новоясеневский пр-т д.38 к.1'!$C$34</definedName>
    <definedName name="_77h_E37">'Новоясеневский пр-т д.38 к.1'!$C$35</definedName>
    <definedName name="_77h_E38">'Новоясеневский пр-т д.38 к.1'!$C$36</definedName>
    <definedName name="_77h_E39">'Новоясеневский пр-т д.38 к.1'!$C$37</definedName>
    <definedName name="_77h_E40">'Новоясеневский пр-т д.38 к.1'!$C$38</definedName>
    <definedName name="_77h_E41">'Новоясеневский пр-т д.38 к.1'!$C$39</definedName>
    <definedName name="_77h_E42">'Новоясеневский пр-т д.38 к.1'!$C$40</definedName>
    <definedName name="_77h_E43">'Новоясеневский пр-т д.38 к.1'!$C$41</definedName>
    <definedName name="_77h_E44">'Новоясеневский пр-т д.38 к.1'!$C$42</definedName>
    <definedName name="_77h_E45">'Новоясеневский пр-т д.38 к.1'!$C$43</definedName>
    <definedName name="_77h_E46">'Новоясеневский пр-т д.38 к.1'!$C$44</definedName>
    <definedName name="_77h_E47">'Новоясеневский пр-т д.38 к.1'!$C$45</definedName>
    <definedName name="_77h_E48">'Новоясеневский пр-т д.38 к.1'!$C$46</definedName>
    <definedName name="_77h_E49">'Новоясеневский пр-т д.38 к.1'!$C$47</definedName>
    <definedName name="_77h_E50">'Новоясеневский пр-т д.38 к.1'!$C$48</definedName>
    <definedName name="_77h_E51">'Новоясеневский пр-т д.38 к.1'!$C$49</definedName>
    <definedName name="_77h_E52">'Новоясеневский пр-т д.38 к.1'!#REF!</definedName>
    <definedName name="_77h_E53">'Новоясеневский пр-т д.38 к.1'!$C$50</definedName>
    <definedName name="_77h_E54">'Новоясеневский пр-т д.38 к.1'!$C$51</definedName>
    <definedName name="_77h_E55">'Новоясеневский пр-т д.38 к.1'!$C$52</definedName>
    <definedName name="_77h_E56">'Новоясеневский пр-т д.38 к.1'!$C$53</definedName>
    <definedName name="_77h_E57">'Новоясеневский пр-т д.38 к.1'!$C$54</definedName>
    <definedName name="_77h_E58">'Новоясеневский пр-т д.38 к.1'!$C$55</definedName>
    <definedName name="_77h_E59">'Новоясеневский пр-т д.38 к.1'!$C$56</definedName>
    <definedName name="_77h_E60">'Новоясеневский пр-т д.38 к.1'!$C$57</definedName>
    <definedName name="_77h_E61">'Новоясеневский пр-т д.38 к.1'!$C$58</definedName>
    <definedName name="_77h_E62">'Новоясеневский пр-т д.38 к.1'!$C$59</definedName>
    <definedName name="_77h_E63">'Новоясеневский пр-т д.38 к.1'!#REF!</definedName>
    <definedName name="_77h_E64">'Новоясеневский пр-т д.38 к.1'!$C$60</definedName>
    <definedName name="_77h_E65">'Новоясеневский пр-т д.38 к.1'!$C$61</definedName>
    <definedName name="_77h_E7">'Новоясеневский пр-т д.38 к.1'!$C$5</definedName>
    <definedName name="_77h_E8">'Новоясеневский пр-т д.38 к.1'!$C$6</definedName>
    <definedName name="_77h_E9">'Новоясеневский пр-т д.38 к.1'!$C$7</definedName>
    <definedName name="_77h_F10">'Новоясеневский пр-т д.38 к.1'!$D$8</definedName>
    <definedName name="_77h_F11">'Новоясеневский пр-т д.38 к.1'!$D$9</definedName>
    <definedName name="_77h_F12">'Новоясеневский пр-т д.38 к.1'!$D$10</definedName>
    <definedName name="_77h_F13">'Новоясеневский пр-т д.38 к.1'!$D$11</definedName>
    <definedName name="_77h_F14">'Новоясеневский пр-т д.38 к.1'!$D$12</definedName>
    <definedName name="_77h_F15">'Новоясеневский пр-т д.38 к.1'!$D$13</definedName>
    <definedName name="_77h_F16">'Новоясеневский пр-т д.38 к.1'!$D$14</definedName>
    <definedName name="_77h_F17">'Новоясеневский пр-т д.38 к.1'!$D$15</definedName>
    <definedName name="_77h_F18">'Новоясеневский пр-т д.38 к.1'!$D$16</definedName>
    <definedName name="_77h_F19">'Новоясеневский пр-т д.38 к.1'!$D$17</definedName>
    <definedName name="_77h_F20">'Новоясеневский пр-т д.38 к.1'!$D$18</definedName>
    <definedName name="_77h_F21">'Новоясеневский пр-т д.38 к.1'!$D$19</definedName>
    <definedName name="_77h_F22">'Новоясеневский пр-т д.38 к.1'!$D$20</definedName>
    <definedName name="_77h_F23">'Новоясеневский пр-т д.38 к.1'!$D$21</definedName>
    <definedName name="_77h_F24">'Новоясеневский пр-т д.38 к.1'!$D$22</definedName>
    <definedName name="_77h_F25">'Новоясеневский пр-т д.38 к.1'!$D$23</definedName>
    <definedName name="_77h_F26">'Новоясеневский пр-т д.38 к.1'!$D$24</definedName>
    <definedName name="_77h_F27">'Новоясеневский пр-т д.38 к.1'!$D$25</definedName>
    <definedName name="_77h_F28">'Новоясеневский пр-т д.38 к.1'!$D$26</definedName>
    <definedName name="_77h_F29">'Новоясеневский пр-т д.38 к.1'!$D$27</definedName>
    <definedName name="_77h_F30">'Новоясеневский пр-т д.38 к.1'!$D$28</definedName>
    <definedName name="_77h_F31">'Новоясеневский пр-т д.38 к.1'!$D$29</definedName>
    <definedName name="_77h_F32">'Новоясеневский пр-т д.38 к.1'!$D$30</definedName>
    <definedName name="_77h_F33">'Новоясеневский пр-т д.38 к.1'!$D$31</definedName>
    <definedName name="_77h_F34">'Новоясеневский пр-т д.38 к.1'!$D$32</definedName>
    <definedName name="_77h_F35">'Новоясеневский пр-т д.38 к.1'!$D$33</definedName>
    <definedName name="_77h_F36">'Новоясеневский пр-т д.38 к.1'!$D$34</definedName>
    <definedName name="_77h_F37">'Новоясеневский пр-т д.38 к.1'!$D$35</definedName>
    <definedName name="_77h_F38">'Новоясеневский пр-т д.38 к.1'!$D$36</definedName>
    <definedName name="_77h_F39">'Новоясеневский пр-т д.38 к.1'!$D$37</definedName>
    <definedName name="_77h_F40">'Новоясеневский пр-т д.38 к.1'!$D$38</definedName>
    <definedName name="_77h_F41">'Новоясеневский пр-т д.38 к.1'!$D$39</definedName>
    <definedName name="_77h_F42">'Новоясеневский пр-т д.38 к.1'!$D$40</definedName>
    <definedName name="_77h_F43">'Новоясеневский пр-т д.38 к.1'!$D$41</definedName>
    <definedName name="_77h_F44">'Новоясеневский пр-т д.38 к.1'!$D$42</definedName>
    <definedName name="_77h_F45">'Новоясеневский пр-т д.38 к.1'!$D$43</definedName>
    <definedName name="_77h_F46">'Новоясеневский пр-т д.38 к.1'!$D$44</definedName>
    <definedName name="_77h_F47">'Новоясеневский пр-т д.38 к.1'!$D$45</definedName>
    <definedName name="_77h_F48">'Новоясеневский пр-т д.38 к.1'!$D$46</definedName>
    <definedName name="_77h_F49">'Новоясеневский пр-т д.38 к.1'!$D$47</definedName>
    <definedName name="_77h_F50">'Новоясеневский пр-т д.38 к.1'!$D$48</definedName>
    <definedName name="_77h_F51">'Новоясеневский пр-т д.38 к.1'!$D$49</definedName>
    <definedName name="_77h_F52">'Новоясеневский пр-т д.38 к.1'!#REF!</definedName>
    <definedName name="_77h_F53">'Новоясеневский пр-т д.38 к.1'!$D$50</definedName>
    <definedName name="_77h_F54">'Новоясеневский пр-т д.38 к.1'!$D$51</definedName>
    <definedName name="_77h_F55">'Новоясеневский пр-т д.38 к.1'!$D$52</definedName>
    <definedName name="_77h_F56">'Новоясеневский пр-т д.38 к.1'!$D$53</definedName>
    <definedName name="_77h_F57">'Новоясеневский пр-т д.38 к.1'!$D$54</definedName>
    <definedName name="_77h_F58">'Новоясеневский пр-т д.38 к.1'!$D$55</definedName>
    <definedName name="_77h_F59">'Новоясеневский пр-т д.38 к.1'!$D$56</definedName>
    <definedName name="_77h_F60">'Новоясеневский пр-т д.38 к.1'!$D$57</definedName>
    <definedName name="_77h_F61">'Новоясеневский пр-т д.38 к.1'!$D$58</definedName>
    <definedName name="_77h_F62">'Новоясеневский пр-т д.38 к.1'!$D$59</definedName>
    <definedName name="_77h_F63">'Новоясеневский пр-т д.38 к.1'!#REF!</definedName>
    <definedName name="_77h_F64">'Новоясеневский пр-т д.38 к.1'!$D$60</definedName>
    <definedName name="_77h_F65">'Новоясеневский пр-т д.38 к.1'!$D$61</definedName>
    <definedName name="_77h_F7">'Новоясеневский пр-т д.38 к.1'!$D$5</definedName>
    <definedName name="_77h_F8">'Новоясеневский пр-т д.38 к.1'!$D$6</definedName>
    <definedName name="_77h_F9">'Новоясеневский пр-т д.38 к.1'!$D$7</definedName>
    <definedName name="_78h_E10">'Новоясе~ д.40 к.3 стр.п.1-9 '!$C$8</definedName>
    <definedName name="_78h_E11">'Новоясе~ д.40 к.3 стр.п.1-9 '!$C$9</definedName>
    <definedName name="_78h_E12">'Новоясе~ д.40 к.3 стр.п.1-9 '!$C$10</definedName>
    <definedName name="_78h_E13">'Новоясе~ д.40 к.3 стр.п.1-9 '!$C$11</definedName>
    <definedName name="_78h_E14">'Новоясе~ д.40 к.3 стр.п.1-9 '!$C$12</definedName>
    <definedName name="_78h_E15">'Новоясе~ д.40 к.3 стр.п.1-9 '!$C$13</definedName>
    <definedName name="_78h_E16">'Новоясе~ д.40 к.3 стр.п.1-9 '!$C$14</definedName>
    <definedName name="_78h_E17">'Новоясе~ д.40 к.3 стр.п.1-9 '!$C$15</definedName>
    <definedName name="_78h_E18">'Новоясе~ д.40 к.3 стр.п.1-9 '!$C$16</definedName>
    <definedName name="_78h_E19">'Новоясе~ д.40 к.3 стр.п.1-9 '!$C$17</definedName>
    <definedName name="_78h_E20">'Новоясе~ д.40 к.3 стр.п.1-9 '!$C$18</definedName>
    <definedName name="_78h_E21">'Новоясе~ д.40 к.3 стр.п.1-9 '!$C$19</definedName>
    <definedName name="_78h_E22">'Новоясе~ д.40 к.3 стр.п.1-9 '!$C$20</definedName>
    <definedName name="_78h_E23">'Новоясе~ д.40 к.3 стр.п.1-9 '!$C$21</definedName>
    <definedName name="_78h_E24">'Новоясе~ д.40 к.3 стр.п.1-9 '!$C$22</definedName>
    <definedName name="_78h_E25">'Новоясе~ д.40 к.3 стр.п.1-9 '!$C$23</definedName>
    <definedName name="_78h_E26">'Новоясе~ д.40 к.3 стр.п.1-9 '!$C$24</definedName>
    <definedName name="_78h_E27">'Новоясе~ д.40 к.3 стр.п.1-9 '!$C$25</definedName>
    <definedName name="_78h_E28">'Новоясе~ д.40 к.3 стр.п.1-9 '!$C$26</definedName>
    <definedName name="_78h_E29">'Новоясе~ д.40 к.3 стр.п.1-9 '!$C$27</definedName>
    <definedName name="_78h_E30">'Новоясе~ д.40 к.3 стр.п.1-9 '!$C$28</definedName>
    <definedName name="_78h_E31">'Новоясе~ д.40 к.3 стр.п.1-9 '!$C$29</definedName>
    <definedName name="_78h_E32">'Новоясе~ д.40 к.3 стр.п.1-9 '!$C$30</definedName>
    <definedName name="_78h_E33">'Новоясе~ д.40 к.3 стр.п.1-9 '!$C$31</definedName>
    <definedName name="_78h_E34">'Новоясе~ д.40 к.3 стр.п.1-9 '!$C$32</definedName>
    <definedName name="_78h_E35">'Новоясе~ д.40 к.3 стр.п.1-9 '!$C$33</definedName>
    <definedName name="_78h_E36">'Новоясе~ д.40 к.3 стр.п.1-9 '!$C$34</definedName>
    <definedName name="_78h_E37">'Новоясе~ д.40 к.3 стр.п.1-9 '!$C$35</definedName>
    <definedName name="_78h_E38">'Новоясе~ д.40 к.3 стр.п.1-9 '!$C$36</definedName>
    <definedName name="_78h_E39">'Новоясе~ д.40 к.3 стр.п.1-9 '!$C$37</definedName>
    <definedName name="_78h_E40">'Новоясе~ д.40 к.3 стр.п.1-9 '!$C$38</definedName>
    <definedName name="_78h_E41">'Новоясе~ д.40 к.3 стр.п.1-9 '!$C$39</definedName>
    <definedName name="_78h_E42">'Новоясе~ д.40 к.3 стр.п.1-9 '!$C$40</definedName>
    <definedName name="_78h_E43">'Новоясе~ д.40 к.3 стр.п.1-9 '!$C$41</definedName>
    <definedName name="_78h_E44">'Новоясе~ д.40 к.3 стр.п.1-9 '!$C$42</definedName>
    <definedName name="_78h_E45">'Новоясе~ д.40 к.3 стр.п.1-9 '!$C$43</definedName>
    <definedName name="_78h_E46">'Новоясе~ д.40 к.3 стр.п.1-9 '!$C$44</definedName>
    <definedName name="_78h_E47">'Новоясе~ д.40 к.3 стр.п.1-9 '!$C$45</definedName>
    <definedName name="_78h_E48">'Новоясе~ д.40 к.3 стр.п.1-9 '!$C$46</definedName>
    <definedName name="_78h_E49">'Новоясе~ д.40 к.3 стр.п.1-9 '!$C$47</definedName>
    <definedName name="_78h_E50">'Новоясе~ д.40 к.3 стр.п.1-9 '!$C$48</definedName>
    <definedName name="_78h_E51">'Новоясе~ д.40 к.3 стр.п.1-9 '!$C$49</definedName>
    <definedName name="_78h_E52">'Новоясе~ д.40 к.3 стр.п.1-9 '!#REF!</definedName>
    <definedName name="_78h_E53">'Новоясе~ д.40 к.3 стр.п.1-9 '!$C$50</definedName>
    <definedName name="_78h_E54">'Новоясе~ д.40 к.3 стр.п.1-9 '!$C$51</definedName>
    <definedName name="_78h_E55">'Новоясе~ д.40 к.3 стр.п.1-9 '!$C$52</definedName>
    <definedName name="_78h_E56">'Новоясе~ д.40 к.3 стр.п.1-9 '!$C$53</definedName>
    <definedName name="_78h_E57">'Новоясе~ д.40 к.3 стр.п.1-9 '!$C$54</definedName>
    <definedName name="_78h_E58">'Новоясе~ д.40 к.3 стр.п.1-9 '!$C$55</definedName>
    <definedName name="_78h_E59">'Новоясе~ д.40 к.3 стр.п.1-9 '!$C$56</definedName>
    <definedName name="_78h_E60">'Новоясе~ д.40 к.3 стр.п.1-9 '!$C$57</definedName>
    <definedName name="_78h_E61">'Новоясе~ д.40 к.3 стр.п.1-9 '!$C$58</definedName>
    <definedName name="_78h_E62">'Новоясе~ д.40 к.3 стр.п.1-9 '!$C$59</definedName>
    <definedName name="_78h_E63">'Новоясе~ д.40 к.3 стр.п.1-9 '!#REF!</definedName>
    <definedName name="_78h_E64">'Новоясе~ д.40 к.3 стр.п.1-9 '!$C$60</definedName>
    <definedName name="_78h_E65">'Новоясе~ д.40 к.3 стр.п.1-9 '!$C$61</definedName>
    <definedName name="_78h_E7">'Новоясе~ д.40 к.3 стр.п.1-9 '!$C$5</definedName>
    <definedName name="_78h_E8">'Новоясе~ д.40 к.3 стр.п.1-9 '!$C$6</definedName>
    <definedName name="_78h_E9">'Новоясе~ д.40 к.3 стр.п.1-9 '!$C$7</definedName>
    <definedName name="_78h_F10">'Новоясе~ д.40 к.3 стр.п.1-9 '!$D$8</definedName>
    <definedName name="_78h_F11">'Новоясе~ д.40 к.3 стр.п.1-9 '!$D$9</definedName>
    <definedName name="_78h_F12">'Новоясе~ д.40 к.3 стр.п.1-9 '!$D$10</definedName>
    <definedName name="_78h_F13">'Новоясе~ д.40 к.3 стр.п.1-9 '!$D$11</definedName>
    <definedName name="_78h_F14">'Новоясе~ д.40 к.3 стр.п.1-9 '!$D$12</definedName>
    <definedName name="_78h_F15">'Новоясе~ д.40 к.3 стр.п.1-9 '!$D$13</definedName>
    <definedName name="_78h_F16">'Новоясе~ д.40 к.3 стр.п.1-9 '!$D$14</definedName>
    <definedName name="_78h_F17">'Новоясе~ д.40 к.3 стр.п.1-9 '!$D$15</definedName>
    <definedName name="_78h_F18">'Новоясе~ д.40 к.3 стр.п.1-9 '!$D$16</definedName>
    <definedName name="_78h_F19">'Новоясе~ д.40 к.3 стр.п.1-9 '!$D$17</definedName>
    <definedName name="_78h_F20">'Новоясе~ д.40 к.3 стр.п.1-9 '!$D$18</definedName>
    <definedName name="_78h_F21">'Новоясе~ д.40 к.3 стр.п.1-9 '!$D$19</definedName>
    <definedName name="_78h_F22">'Новоясе~ д.40 к.3 стр.п.1-9 '!$D$20</definedName>
    <definedName name="_78h_F23">'Новоясе~ д.40 к.3 стр.п.1-9 '!$D$21</definedName>
    <definedName name="_78h_F24">'Новоясе~ д.40 к.3 стр.п.1-9 '!$D$22</definedName>
    <definedName name="_78h_F25">'Новоясе~ д.40 к.3 стр.п.1-9 '!$D$23</definedName>
    <definedName name="_78h_F26">'Новоясе~ д.40 к.3 стр.п.1-9 '!$D$24</definedName>
    <definedName name="_78h_F27">'Новоясе~ д.40 к.3 стр.п.1-9 '!$D$25</definedName>
    <definedName name="_78h_F28">'Новоясе~ д.40 к.3 стр.п.1-9 '!$D$26</definedName>
    <definedName name="_78h_F29">'Новоясе~ д.40 к.3 стр.п.1-9 '!$D$27</definedName>
    <definedName name="_78h_F30">'Новоясе~ д.40 к.3 стр.п.1-9 '!$D$28</definedName>
    <definedName name="_78h_F31">'Новоясе~ д.40 к.3 стр.п.1-9 '!$D$29</definedName>
    <definedName name="_78h_F32">'Новоясе~ д.40 к.3 стр.п.1-9 '!$D$30</definedName>
    <definedName name="_78h_F33">'Новоясе~ д.40 к.3 стр.п.1-9 '!$D$31</definedName>
    <definedName name="_78h_F34">'Новоясе~ д.40 к.3 стр.п.1-9 '!$D$32</definedName>
    <definedName name="_78h_F35">'Новоясе~ д.40 к.3 стр.п.1-9 '!$D$33</definedName>
    <definedName name="_78h_F36">'Новоясе~ д.40 к.3 стр.п.1-9 '!$D$34</definedName>
    <definedName name="_78h_F37">'Новоясе~ д.40 к.3 стр.п.1-9 '!$D$35</definedName>
    <definedName name="_78h_F38">'Новоясе~ д.40 к.3 стр.п.1-9 '!$D$36</definedName>
    <definedName name="_78h_F39">'Новоясе~ д.40 к.3 стр.п.1-9 '!$D$37</definedName>
    <definedName name="_78h_F40">'Новоясе~ д.40 к.3 стр.п.1-9 '!$D$38</definedName>
    <definedName name="_78h_F41">'Новоясе~ д.40 к.3 стр.п.1-9 '!$D$39</definedName>
    <definedName name="_78h_F42">'Новоясе~ д.40 к.3 стр.п.1-9 '!$D$40</definedName>
    <definedName name="_78h_F43">'Новоясе~ д.40 к.3 стр.п.1-9 '!$D$41</definedName>
    <definedName name="_78h_F44">'Новоясе~ д.40 к.3 стр.п.1-9 '!$D$42</definedName>
    <definedName name="_78h_F45">'Новоясе~ д.40 к.3 стр.п.1-9 '!$D$43</definedName>
    <definedName name="_78h_F46">'Новоясе~ д.40 к.3 стр.п.1-9 '!$D$44</definedName>
    <definedName name="_78h_F47">'Новоясе~ д.40 к.3 стр.п.1-9 '!$D$45</definedName>
    <definedName name="_78h_F48">'Новоясе~ д.40 к.3 стр.п.1-9 '!$D$46</definedName>
    <definedName name="_78h_F49">'Новоясе~ д.40 к.3 стр.п.1-9 '!$D$47</definedName>
    <definedName name="_78h_F50">'Новоясе~ д.40 к.3 стр.п.1-9 '!$D$48</definedName>
    <definedName name="_78h_F51">'Новоясе~ д.40 к.3 стр.п.1-9 '!$D$49</definedName>
    <definedName name="_78h_F52">'Новоясе~ д.40 к.3 стр.п.1-9 '!#REF!</definedName>
    <definedName name="_78h_F53">'Новоясе~ д.40 к.3 стр.п.1-9 '!$D$50</definedName>
    <definedName name="_78h_F54">'Новоясе~ д.40 к.3 стр.п.1-9 '!$D$51</definedName>
    <definedName name="_78h_F55">'Новоясе~ д.40 к.3 стр.п.1-9 '!$D$52</definedName>
    <definedName name="_78h_F56">'Новоясе~ д.40 к.3 стр.п.1-9 '!$D$53</definedName>
    <definedName name="_78h_F57">'Новоясе~ д.40 к.3 стр.п.1-9 '!$D$54</definedName>
    <definedName name="_78h_F58">'Новоясе~ д.40 к.3 стр.п.1-9 '!$D$55</definedName>
    <definedName name="_78h_F59">'Новоясе~ д.40 к.3 стр.п.1-9 '!$D$56</definedName>
    <definedName name="_78h_F60">'Новоясе~ д.40 к.3 стр.п.1-9 '!$D$57</definedName>
    <definedName name="_78h_F61">'Новоясе~ д.40 к.3 стр.п.1-9 '!$D$58</definedName>
    <definedName name="_78h_F62">'Новоясе~ д.40 к.3 стр.п.1-9 '!$D$59</definedName>
    <definedName name="_78h_F63">'Новоясе~ д.40 к.3 стр.п.1-9 '!#REF!</definedName>
    <definedName name="_78h_F64">'Новоясе~ д.40 к.3 стр.п.1-9 '!$D$60</definedName>
    <definedName name="_78h_F65">'Новоясе~ д.40 к.3 стр.п.1-9 '!$D$61</definedName>
    <definedName name="_78h_F7">'Новоясе~ д.40 к.3 стр.п.1-9 '!$D$5</definedName>
    <definedName name="_78h_F8">'Новоясе~ д.40 к.3 стр.п.1-9 '!$D$6</definedName>
    <definedName name="_78h_F9">'Новоясе~ д.40 к.3 стр.п.1-9 '!$D$7</definedName>
    <definedName name="_79h_E10">'~ д.40 к.3 стр.п.10-15 ЖСК Лань'!$C$8</definedName>
    <definedName name="_79h_E11">'~ д.40 к.3 стр.п.10-15 ЖСК Лань'!$C$9</definedName>
    <definedName name="_79h_E12">'~ д.40 к.3 стр.п.10-15 ЖСК Лань'!$C$10</definedName>
    <definedName name="_79h_E13">'~ д.40 к.3 стр.п.10-15 ЖСК Лань'!$C$11</definedName>
    <definedName name="_79h_E14">'~ д.40 к.3 стр.п.10-15 ЖСК Лань'!$C$12</definedName>
    <definedName name="_79h_E15">'~ д.40 к.3 стр.п.10-15 ЖСК Лань'!$C$13</definedName>
    <definedName name="_79h_E16">'~ д.40 к.3 стр.п.10-15 ЖСК Лань'!$C$14</definedName>
    <definedName name="_79h_E17">'~ д.40 к.3 стр.п.10-15 ЖСК Лань'!$C$15</definedName>
    <definedName name="_79h_E18">'~ д.40 к.3 стр.п.10-15 ЖСК Лань'!$C$16</definedName>
    <definedName name="_79h_E19">'~ д.40 к.3 стр.п.10-15 ЖСК Лань'!$C$17</definedName>
    <definedName name="_79h_E20">'~ д.40 к.3 стр.п.10-15 ЖСК Лань'!$C$18</definedName>
    <definedName name="_79h_E21">'~ д.40 к.3 стр.п.10-15 ЖСК Лань'!$C$19</definedName>
    <definedName name="_79h_E22">'~ д.40 к.3 стр.п.10-15 ЖСК Лань'!$C$20</definedName>
    <definedName name="_79h_E23">'~ д.40 к.3 стр.п.10-15 ЖСК Лань'!$C$21</definedName>
    <definedName name="_79h_E24">'~ д.40 к.3 стр.п.10-15 ЖСК Лань'!$C$22</definedName>
    <definedName name="_79h_E25">'~ д.40 к.3 стр.п.10-15 ЖСК Лань'!$C$23</definedName>
    <definedName name="_79h_E26">'~ д.40 к.3 стр.п.10-15 ЖСК Лань'!$C$24</definedName>
    <definedName name="_79h_E27">'~ д.40 к.3 стр.п.10-15 ЖСК Лань'!$C$25</definedName>
    <definedName name="_79h_E28">'~ д.40 к.3 стр.п.10-15 ЖСК Лань'!$C$26</definedName>
    <definedName name="_79h_E29">'~ д.40 к.3 стр.п.10-15 ЖСК Лань'!$C$27</definedName>
    <definedName name="_79h_E30">'~ д.40 к.3 стр.п.10-15 ЖСК Лань'!$C$28</definedName>
    <definedName name="_79h_E31">'~ д.40 к.3 стр.п.10-15 ЖСК Лань'!$C$29</definedName>
    <definedName name="_79h_E32">'~ д.40 к.3 стр.п.10-15 ЖСК Лань'!$C$30</definedName>
    <definedName name="_79h_E33">'~ д.40 к.3 стр.п.10-15 ЖСК Лань'!$C$31</definedName>
    <definedName name="_79h_E34">'~ д.40 к.3 стр.п.10-15 ЖСК Лань'!$C$32</definedName>
    <definedName name="_79h_E35">'~ д.40 к.3 стр.п.10-15 ЖСК Лань'!$C$33</definedName>
    <definedName name="_79h_E36">'~ д.40 к.3 стр.п.10-15 ЖСК Лань'!$C$34</definedName>
    <definedName name="_79h_E37">'~ д.40 к.3 стр.п.10-15 ЖСК Лань'!$C$35</definedName>
    <definedName name="_79h_E38">'~ д.40 к.3 стр.п.10-15 ЖСК Лань'!$C$36</definedName>
    <definedName name="_79h_E39">'~ д.40 к.3 стр.п.10-15 ЖСК Лань'!$C$37</definedName>
    <definedName name="_79h_E40">'~ д.40 к.3 стр.п.10-15 ЖСК Лань'!$C$38</definedName>
    <definedName name="_79h_E41">'~ д.40 к.3 стр.п.10-15 ЖСК Лань'!$C$39</definedName>
    <definedName name="_79h_E42">'~ д.40 к.3 стр.п.10-15 ЖСК Лань'!$C$40</definedName>
    <definedName name="_79h_E43">'~ д.40 к.3 стр.п.10-15 ЖСК Лань'!$C$41</definedName>
    <definedName name="_79h_E44">'~ д.40 к.3 стр.п.10-15 ЖСК Лань'!$C$42</definedName>
    <definedName name="_79h_E45">'~ д.40 к.3 стр.п.10-15 ЖСК Лань'!$C$43</definedName>
    <definedName name="_79h_E46">'~ д.40 к.3 стр.п.10-15 ЖСК Лань'!$C$44</definedName>
    <definedName name="_79h_E47">'~ д.40 к.3 стр.п.10-15 ЖСК Лань'!$C$45</definedName>
    <definedName name="_79h_E48">'~ д.40 к.3 стр.п.10-15 ЖСК Лань'!$C$46</definedName>
    <definedName name="_79h_E49">'~ д.40 к.3 стр.п.10-15 ЖСК Лань'!$C$47</definedName>
    <definedName name="_79h_E50">'~ д.40 к.3 стр.п.10-15 ЖСК Лань'!$C$48</definedName>
    <definedName name="_79h_E51">'~ д.40 к.3 стр.п.10-15 ЖСК Лань'!$C$49</definedName>
    <definedName name="_79h_E52">'~ д.40 к.3 стр.п.10-15 ЖСК Лань'!#REF!</definedName>
    <definedName name="_79h_E53">'~ д.40 к.3 стр.п.10-15 ЖСК Лань'!$C$50</definedName>
    <definedName name="_79h_E54">'~ д.40 к.3 стр.п.10-15 ЖСК Лань'!$C$51</definedName>
    <definedName name="_79h_E55">'~ д.40 к.3 стр.п.10-15 ЖСК Лань'!$C$52</definedName>
    <definedName name="_79h_E56">'~ д.40 к.3 стр.п.10-15 ЖСК Лань'!$C$53</definedName>
    <definedName name="_79h_E57">'~ д.40 к.3 стр.п.10-15 ЖСК Лань'!$C$54</definedName>
    <definedName name="_79h_E58">'~ д.40 к.3 стр.п.10-15 ЖСК Лань'!$C$55</definedName>
    <definedName name="_79h_E59">'~ д.40 к.3 стр.п.10-15 ЖСК Лань'!$C$56</definedName>
    <definedName name="_79h_E60">'~ д.40 к.3 стр.п.10-15 ЖСК Лань'!$C$57</definedName>
    <definedName name="_79h_E61">'~ д.40 к.3 стр.п.10-15 ЖСК Лань'!$C$58</definedName>
    <definedName name="_79h_E62">'~ д.40 к.3 стр.п.10-15 ЖСК Лань'!$C$59</definedName>
    <definedName name="_79h_E63">'~ д.40 к.3 стр.п.10-15 ЖСК Лань'!#REF!</definedName>
    <definedName name="_79h_E64">'~ д.40 к.3 стр.п.10-15 ЖСК Лань'!$C$60</definedName>
    <definedName name="_79h_E65">'~ д.40 к.3 стр.п.10-15 ЖСК Лань'!$C$61</definedName>
    <definedName name="_79h_E7">'~ д.40 к.3 стр.п.10-15 ЖСК Лань'!$C$5</definedName>
    <definedName name="_79h_E8">'~ д.40 к.3 стр.п.10-15 ЖСК Лань'!$C$6</definedName>
    <definedName name="_79h_E9">'~ д.40 к.3 стр.п.10-15 ЖСК Лань'!$C$7</definedName>
    <definedName name="_79h_F10">'~ д.40 к.3 стр.п.10-15 ЖСК Лань'!$D$8</definedName>
    <definedName name="_79h_F11">'~ д.40 к.3 стр.п.10-15 ЖСК Лань'!$D$9</definedName>
    <definedName name="_79h_F12">'~ д.40 к.3 стр.п.10-15 ЖСК Лань'!$D$10</definedName>
    <definedName name="_79h_F13">'~ д.40 к.3 стр.п.10-15 ЖСК Лань'!$D$11</definedName>
    <definedName name="_79h_F14">'~ д.40 к.3 стр.п.10-15 ЖСК Лань'!$D$12</definedName>
    <definedName name="_79h_F15">'~ д.40 к.3 стр.п.10-15 ЖСК Лань'!$D$13</definedName>
    <definedName name="_79h_F16">'~ д.40 к.3 стр.п.10-15 ЖСК Лань'!$D$14</definedName>
    <definedName name="_79h_F17">'~ д.40 к.3 стр.п.10-15 ЖСК Лань'!$D$15</definedName>
    <definedName name="_79h_F18">'~ д.40 к.3 стр.п.10-15 ЖСК Лань'!$D$16</definedName>
    <definedName name="_79h_F19">'~ д.40 к.3 стр.п.10-15 ЖСК Лань'!$D$17</definedName>
    <definedName name="_79h_F20">'~ д.40 к.3 стр.п.10-15 ЖСК Лань'!$D$18</definedName>
    <definedName name="_79h_F21">'~ д.40 к.3 стр.п.10-15 ЖСК Лань'!$D$19</definedName>
    <definedName name="_79h_F22">'~ д.40 к.3 стр.п.10-15 ЖСК Лань'!$D$20</definedName>
    <definedName name="_79h_F23">'~ д.40 к.3 стр.п.10-15 ЖСК Лань'!$D$21</definedName>
    <definedName name="_79h_F24">'~ д.40 к.3 стр.п.10-15 ЖСК Лань'!$D$22</definedName>
    <definedName name="_79h_F25">'~ д.40 к.3 стр.п.10-15 ЖСК Лань'!$D$23</definedName>
    <definedName name="_79h_F26">'~ д.40 к.3 стр.п.10-15 ЖСК Лань'!$D$24</definedName>
    <definedName name="_79h_F27">'~ д.40 к.3 стр.п.10-15 ЖСК Лань'!$D$25</definedName>
    <definedName name="_79h_F28">'~ д.40 к.3 стр.п.10-15 ЖСК Лань'!$D$26</definedName>
    <definedName name="_79h_F29">'~ д.40 к.3 стр.п.10-15 ЖСК Лань'!$D$27</definedName>
    <definedName name="_79h_F30">'~ д.40 к.3 стр.п.10-15 ЖСК Лань'!$D$28</definedName>
    <definedName name="_79h_F31">'~ д.40 к.3 стр.п.10-15 ЖСК Лань'!$D$29</definedName>
    <definedName name="_79h_F32">'~ д.40 к.3 стр.п.10-15 ЖСК Лань'!$D$30</definedName>
    <definedName name="_79h_F33">'~ д.40 к.3 стр.п.10-15 ЖСК Лань'!$D$31</definedName>
    <definedName name="_79h_F34">'~ д.40 к.3 стр.п.10-15 ЖСК Лань'!$D$32</definedName>
    <definedName name="_79h_F35">'~ д.40 к.3 стр.п.10-15 ЖСК Лань'!$D$33</definedName>
    <definedName name="_79h_F36">'~ д.40 к.3 стр.п.10-15 ЖСК Лань'!$D$34</definedName>
    <definedName name="_79h_F37">'~ д.40 к.3 стр.п.10-15 ЖСК Лань'!$D$35</definedName>
    <definedName name="_79h_F38">'~ д.40 к.3 стр.п.10-15 ЖСК Лань'!$D$36</definedName>
    <definedName name="_79h_F39">'~ д.40 к.3 стр.п.10-15 ЖСК Лань'!$D$37</definedName>
    <definedName name="_79h_F40">'~ д.40 к.3 стр.п.10-15 ЖСК Лань'!$D$38</definedName>
    <definedName name="_79h_F41">'~ д.40 к.3 стр.п.10-15 ЖСК Лань'!$D$39</definedName>
    <definedName name="_79h_F42">'~ д.40 к.3 стр.п.10-15 ЖСК Лань'!$D$40</definedName>
    <definedName name="_79h_F43">'~ д.40 к.3 стр.п.10-15 ЖСК Лань'!$D$41</definedName>
    <definedName name="_79h_F44">'~ д.40 к.3 стр.п.10-15 ЖСК Лань'!$D$42</definedName>
    <definedName name="_79h_F45">'~ д.40 к.3 стр.п.10-15 ЖСК Лань'!$D$43</definedName>
    <definedName name="_79h_F46">'~ д.40 к.3 стр.п.10-15 ЖСК Лань'!$D$44</definedName>
    <definedName name="_79h_F47">'~ д.40 к.3 стр.п.10-15 ЖСК Лань'!$D$45</definedName>
    <definedName name="_79h_F48">'~ д.40 к.3 стр.п.10-15 ЖСК Лань'!$D$46</definedName>
    <definedName name="_79h_F49">'~ д.40 к.3 стр.п.10-15 ЖСК Лань'!$D$47</definedName>
    <definedName name="_79h_F50">'~ д.40 к.3 стр.п.10-15 ЖСК Лань'!$D$48</definedName>
    <definedName name="_79h_F51">'~ д.40 к.3 стр.п.10-15 ЖСК Лань'!$D$49</definedName>
    <definedName name="_79h_F52">'~ д.40 к.3 стр.п.10-15 ЖСК Лань'!#REF!</definedName>
    <definedName name="_79h_F53">'~ д.40 к.3 стр.п.10-15 ЖСК Лань'!$D$50</definedName>
    <definedName name="_79h_F54">'~ д.40 к.3 стр.п.10-15 ЖСК Лань'!$D$51</definedName>
    <definedName name="_79h_F55">'~ д.40 к.3 стр.п.10-15 ЖСК Лань'!$D$52</definedName>
    <definedName name="_79h_F56">'~ д.40 к.3 стр.п.10-15 ЖСК Лань'!$D$53</definedName>
    <definedName name="_79h_F57">'~ д.40 к.3 стр.п.10-15 ЖСК Лань'!$D$54</definedName>
    <definedName name="_79h_F58">'~ д.40 к.3 стр.п.10-15 ЖСК Лань'!$D$55</definedName>
    <definedName name="_79h_F59">'~ д.40 к.3 стр.п.10-15 ЖСК Лань'!$D$56</definedName>
    <definedName name="_79h_F60">'~ д.40 к.3 стр.п.10-15 ЖСК Лань'!$D$57</definedName>
    <definedName name="_79h_F61">'~ д.40 к.3 стр.п.10-15 ЖСК Лань'!$D$58</definedName>
    <definedName name="_79h_F62">'~ д.40 к.3 стр.п.10-15 ЖСК Лань'!$D$59</definedName>
    <definedName name="_79h_F63">'~ д.40 к.3 стр.п.10-15 ЖСК Лань'!#REF!</definedName>
    <definedName name="_79h_F64">'~ д.40 к.3 стр.п.10-15 ЖСК Лань'!$D$60</definedName>
    <definedName name="_79h_F65">'~ д.40 к.3 стр.п.10-15 ЖСК Лань'!$D$61</definedName>
    <definedName name="_79h_F7">'~ д.40 к.3 стр.п.10-15 ЖСК Лань'!$D$5</definedName>
    <definedName name="_79h_F8">'~ д.40 к.3 стр.п.10-15 ЖСК Лань'!$D$6</definedName>
    <definedName name="_79h_F9">'~ д.40 к.3 стр.п.10-15 ЖСК Лань'!$D$7</definedName>
    <definedName name="_7h_E10">'Вильнюсская д.6'!$C$8</definedName>
    <definedName name="_7h_E11">'Вильнюсская д.6'!$C$9</definedName>
    <definedName name="_7h_E12">'Вильнюсская д.6'!$C$10</definedName>
    <definedName name="_7h_E13">'Вильнюсская д.6'!$C$11</definedName>
    <definedName name="_7h_E14">'Вильнюсская д.6'!$C$12</definedName>
    <definedName name="_7h_E15">'Вильнюсская д.6'!$C$13</definedName>
    <definedName name="_7h_E16">'Вильнюсская д.6'!$C$14</definedName>
    <definedName name="_7h_E17">'Вильнюсская д.6'!$C$15</definedName>
    <definedName name="_7h_E18">'Вильнюсская д.6'!$C$16</definedName>
    <definedName name="_7h_E19">'Вильнюсская д.6'!$C$17</definedName>
    <definedName name="_7h_E20">'Вильнюсская д.6'!$C$18</definedName>
    <definedName name="_7h_E21">'Вильнюсская д.6'!$C$19</definedName>
    <definedName name="_7h_E22">'Вильнюсская д.6'!$C$20</definedName>
    <definedName name="_7h_E23">'Вильнюсская д.6'!$C$21</definedName>
    <definedName name="_7h_E24">'Вильнюсская д.6'!$C$22</definedName>
    <definedName name="_7h_E25">'Вильнюсская д.6'!$C$23</definedName>
    <definedName name="_7h_E26">'Вильнюсская д.6'!$C$24</definedName>
    <definedName name="_7h_E27">'Вильнюсская д.6'!$C$25</definedName>
    <definedName name="_7h_E28">'Вильнюсская д.6'!$C$26</definedName>
    <definedName name="_7h_E29">'Вильнюсская д.6'!$C$27</definedName>
    <definedName name="_7h_E30">'Вильнюсская д.6'!$C$28</definedName>
    <definedName name="_7h_E31">'Вильнюсская д.6'!$C$29</definedName>
    <definedName name="_7h_E32">'Вильнюсская д.6'!$C$30</definedName>
    <definedName name="_7h_E33">'Вильнюсская д.6'!$C$31</definedName>
    <definedName name="_7h_E34">'Вильнюсская д.6'!$C$32</definedName>
    <definedName name="_7h_E35">'Вильнюсская д.6'!$C$33</definedName>
    <definedName name="_7h_E36">'Вильнюсская д.6'!$C$34</definedName>
    <definedName name="_7h_E37">'Вильнюсская д.6'!$C$35</definedName>
    <definedName name="_7h_E38">'Вильнюсская д.6'!$C$36</definedName>
    <definedName name="_7h_E39">'Вильнюсская д.6'!$C$37</definedName>
    <definedName name="_7h_E40">'Вильнюсская д.6'!$C$38</definedName>
    <definedName name="_7h_E41">'Вильнюсская д.6'!$C$39</definedName>
    <definedName name="_7h_E42">'Вильнюсская д.6'!$C$40</definedName>
    <definedName name="_7h_E43">'Вильнюсская д.6'!$C$41</definedName>
    <definedName name="_7h_E44">'Вильнюсская д.6'!$C$42</definedName>
    <definedName name="_7h_E45">'Вильнюсская д.6'!$C$43</definedName>
    <definedName name="_7h_E46">'Вильнюсская д.6'!$C$44</definedName>
    <definedName name="_7h_E47">'Вильнюсская д.6'!$C$45</definedName>
    <definedName name="_7h_E48">'Вильнюсская д.6'!$C$46</definedName>
    <definedName name="_7h_E49">'Вильнюсская д.6'!$C$47</definedName>
    <definedName name="_7h_E50">'Вильнюсская д.6'!$C$48</definedName>
    <definedName name="_7h_E51">'Вильнюсская д.6'!$C$49</definedName>
    <definedName name="_7h_E52">'Вильнюсская д.6'!#REF!</definedName>
    <definedName name="_7h_E53">'Вильнюсская д.6'!$C$50</definedName>
    <definedName name="_7h_E54">'Вильнюсская д.6'!$C$51</definedName>
    <definedName name="_7h_E55">'Вильнюсская д.6'!$C$52</definedName>
    <definedName name="_7h_E56">'Вильнюсская д.6'!$C$53</definedName>
    <definedName name="_7h_E57">'Вильнюсская д.6'!$C$54</definedName>
    <definedName name="_7h_E58">'Вильнюсская д.6'!$C$55</definedName>
    <definedName name="_7h_E59">'Вильнюсская д.6'!$C$56</definedName>
    <definedName name="_7h_E60">'Вильнюсская д.6'!$C$57</definedName>
    <definedName name="_7h_E61">'Вильнюсская д.6'!$C$58</definedName>
    <definedName name="_7h_E62">'Вильнюсская д.6'!$C$59</definedName>
    <definedName name="_7h_E63">'Вильнюсская д.6'!#REF!</definedName>
    <definedName name="_7h_E64">'Вильнюсская д.6'!$C$60</definedName>
    <definedName name="_7h_E65">'Вильнюсская д.6'!$C$61</definedName>
    <definedName name="_7h_E7">'Вильнюсская д.6'!$C$5</definedName>
    <definedName name="_7h_E8">'Вильнюсская д.6'!$C$6</definedName>
    <definedName name="_7h_E9">'Вильнюсская д.6'!$C$7</definedName>
    <definedName name="_7h_F10">'Вильнюсская д.6'!$D$8</definedName>
    <definedName name="_7h_F11">'Вильнюсская д.6'!$D$9</definedName>
    <definedName name="_7h_F12">'Вильнюсская д.6'!$D$10</definedName>
    <definedName name="_7h_F13">'Вильнюсская д.6'!$D$11</definedName>
    <definedName name="_7h_F14">'Вильнюсская д.6'!$D$12</definedName>
    <definedName name="_7h_F15">'Вильнюсская д.6'!$D$13</definedName>
    <definedName name="_7h_F16">'Вильнюсская д.6'!$D$14</definedName>
    <definedName name="_7h_F17">'Вильнюсская д.6'!$D$15</definedName>
    <definedName name="_7h_F18">'Вильнюсская д.6'!$D$16</definedName>
    <definedName name="_7h_F19">'Вильнюсская д.6'!$D$17</definedName>
    <definedName name="_7h_F20">'Вильнюсская д.6'!$D$18</definedName>
    <definedName name="_7h_F21">'Вильнюсская д.6'!$D$19</definedName>
    <definedName name="_7h_F22">'Вильнюсская д.6'!$D$20</definedName>
    <definedName name="_7h_F23">'Вильнюсская д.6'!$D$21</definedName>
    <definedName name="_7h_F24">'Вильнюсская д.6'!$D$22</definedName>
    <definedName name="_7h_F25">'Вильнюсская д.6'!$D$23</definedName>
    <definedName name="_7h_F26">'Вильнюсская д.6'!$D$24</definedName>
    <definedName name="_7h_F27">'Вильнюсская д.6'!$D$25</definedName>
    <definedName name="_7h_F28">'Вильнюсская д.6'!$D$26</definedName>
    <definedName name="_7h_F29">'Вильнюсская д.6'!$D$27</definedName>
    <definedName name="_7h_F30">'Вильнюсская д.6'!$D$28</definedName>
    <definedName name="_7h_F31">'Вильнюсская д.6'!$D$29</definedName>
    <definedName name="_7h_F32">'Вильнюсская д.6'!$D$30</definedName>
    <definedName name="_7h_F33">'Вильнюсская д.6'!$D$31</definedName>
    <definedName name="_7h_F34">'Вильнюсская д.6'!$D$32</definedName>
    <definedName name="_7h_F35">'Вильнюсская д.6'!$D$33</definedName>
    <definedName name="_7h_F36">'Вильнюсская д.6'!$D$34</definedName>
    <definedName name="_7h_F37">'Вильнюсская д.6'!$D$35</definedName>
    <definedName name="_7h_F38">'Вильнюсская д.6'!$D$36</definedName>
    <definedName name="_7h_F39">'Вильнюсская д.6'!$D$37</definedName>
    <definedName name="_7h_F40">'Вильнюсская д.6'!$D$38</definedName>
    <definedName name="_7h_F41">'Вильнюсская д.6'!$D$39</definedName>
    <definedName name="_7h_F42">'Вильнюсская д.6'!$D$40</definedName>
    <definedName name="_7h_F43">'Вильнюсская д.6'!$D$41</definedName>
    <definedName name="_7h_F44">'Вильнюсская д.6'!$D$42</definedName>
    <definedName name="_7h_F45">'Вильнюсская д.6'!$D$43</definedName>
    <definedName name="_7h_F46">'Вильнюсская д.6'!$D$44</definedName>
    <definedName name="_7h_F47">'Вильнюсская д.6'!$D$45</definedName>
    <definedName name="_7h_F48">'Вильнюсская д.6'!$D$46</definedName>
    <definedName name="_7h_F49">'Вильнюсская д.6'!$D$47</definedName>
    <definedName name="_7h_F50">'Вильнюсская д.6'!$D$48</definedName>
    <definedName name="_7h_F51">'Вильнюсская д.6'!$D$49</definedName>
    <definedName name="_7h_F52">'Вильнюсская д.6'!#REF!</definedName>
    <definedName name="_7h_F53">'Вильнюсская д.6'!$D$50</definedName>
    <definedName name="_7h_F54">'Вильнюсская д.6'!$D$51</definedName>
    <definedName name="_7h_F55">'Вильнюсская д.6'!$D$52</definedName>
    <definedName name="_7h_F56">'Вильнюсская д.6'!$D$53</definedName>
    <definedName name="_7h_F57">'Вильнюсская д.6'!$D$54</definedName>
    <definedName name="_7h_F58">'Вильнюсская д.6'!$D$55</definedName>
    <definedName name="_7h_F59">'Вильнюсская д.6'!$D$56</definedName>
    <definedName name="_7h_F60">'Вильнюсская д.6'!$D$57</definedName>
    <definedName name="_7h_F61">'Вильнюсская д.6'!$D$58</definedName>
    <definedName name="_7h_F62">'Вильнюсская д.6'!$D$59</definedName>
    <definedName name="_7h_F63">'Вильнюсская д.6'!#REF!</definedName>
    <definedName name="_7h_F64">'Вильнюсская д.6'!$D$60</definedName>
    <definedName name="_7h_F65">'Вильнюсская д.6'!$D$61</definedName>
    <definedName name="_7h_F7">'Вильнюсская д.6'!$D$5</definedName>
    <definedName name="_7h_F8">'Вильнюсская д.6'!$D$6</definedName>
    <definedName name="_7h_F9">'Вильнюсская д.6'!$D$7</definedName>
    <definedName name="_80h_E10">'Одоевского п~ д.3 к.1 стр.п.1-2'!$C$8</definedName>
    <definedName name="_80h_E11">'Одоевского п~ д.3 к.1 стр.п.1-2'!$C$9</definedName>
    <definedName name="_80h_E12">'Одоевского п~ д.3 к.1 стр.п.1-2'!$C$10</definedName>
    <definedName name="_80h_E13">'Одоевского п~ д.3 к.1 стр.п.1-2'!$C$11</definedName>
    <definedName name="_80h_E14">'Одоевского п~ д.3 к.1 стр.п.1-2'!$C$12</definedName>
    <definedName name="_80h_E15">'Одоевского п~ д.3 к.1 стр.п.1-2'!$C$13</definedName>
    <definedName name="_80h_E16">'Одоевского п~ д.3 к.1 стр.п.1-2'!$C$14</definedName>
    <definedName name="_80h_E17">'Одоевского п~ д.3 к.1 стр.п.1-2'!$C$15</definedName>
    <definedName name="_80h_E18">'Одоевского п~ д.3 к.1 стр.п.1-2'!$C$16</definedName>
    <definedName name="_80h_E19">'Одоевского п~ д.3 к.1 стр.п.1-2'!$C$17</definedName>
    <definedName name="_80h_E20">'Одоевского п~ д.3 к.1 стр.п.1-2'!$C$18</definedName>
    <definedName name="_80h_E21">'Одоевского п~ д.3 к.1 стр.п.1-2'!$C$19</definedName>
    <definedName name="_80h_E22">'Одоевского п~ д.3 к.1 стр.п.1-2'!$C$20</definedName>
    <definedName name="_80h_E23">'Одоевского п~ д.3 к.1 стр.п.1-2'!$C$21</definedName>
    <definedName name="_80h_E24">'Одоевского п~ д.3 к.1 стр.п.1-2'!$C$22</definedName>
    <definedName name="_80h_E25">'Одоевского п~ д.3 к.1 стр.п.1-2'!$C$23</definedName>
    <definedName name="_80h_E26">'Одоевского п~ д.3 к.1 стр.п.1-2'!$C$24</definedName>
    <definedName name="_80h_E27">'Одоевского п~ д.3 к.1 стр.п.1-2'!$C$25</definedName>
    <definedName name="_80h_E28">'Одоевского п~ д.3 к.1 стр.п.1-2'!$C$26</definedName>
    <definedName name="_80h_E29">'Одоевского п~ д.3 к.1 стр.п.1-2'!$C$27</definedName>
    <definedName name="_80h_E30">'Одоевского п~ д.3 к.1 стр.п.1-2'!$C$28</definedName>
    <definedName name="_80h_E31">'Одоевского п~ д.3 к.1 стр.п.1-2'!$C$29</definedName>
    <definedName name="_80h_E32">'Одоевского п~ д.3 к.1 стр.п.1-2'!$C$30</definedName>
    <definedName name="_80h_E33">'Одоевского п~ д.3 к.1 стр.п.1-2'!$C$31</definedName>
    <definedName name="_80h_E34">'Одоевского п~ д.3 к.1 стр.п.1-2'!$C$32</definedName>
    <definedName name="_80h_E35">'Одоевского п~ д.3 к.1 стр.п.1-2'!$C$33</definedName>
    <definedName name="_80h_E36">'Одоевского п~ д.3 к.1 стр.п.1-2'!$C$34</definedName>
    <definedName name="_80h_E37">'Одоевского п~ д.3 к.1 стр.п.1-2'!$C$35</definedName>
    <definedName name="_80h_E38">'Одоевского п~ д.3 к.1 стр.п.1-2'!$C$36</definedName>
    <definedName name="_80h_E39">'Одоевского п~ д.3 к.1 стр.п.1-2'!$C$37</definedName>
    <definedName name="_80h_E40">'Одоевского п~ д.3 к.1 стр.п.1-2'!$C$38</definedName>
    <definedName name="_80h_E41">'Одоевского п~ д.3 к.1 стр.п.1-2'!$C$39</definedName>
    <definedName name="_80h_E42">'Одоевского п~ д.3 к.1 стр.п.1-2'!$C$40</definedName>
    <definedName name="_80h_E43">'Одоевского п~ д.3 к.1 стр.п.1-2'!$C$41</definedName>
    <definedName name="_80h_E44">'Одоевского п~ д.3 к.1 стр.п.1-2'!$C$42</definedName>
    <definedName name="_80h_E45">'Одоевского п~ д.3 к.1 стр.п.1-2'!$C$43</definedName>
    <definedName name="_80h_E46">'Одоевского п~ д.3 к.1 стр.п.1-2'!$C$44</definedName>
    <definedName name="_80h_E47">'Одоевского п~ д.3 к.1 стр.п.1-2'!$C$45</definedName>
    <definedName name="_80h_E48">'Одоевского п~ д.3 к.1 стр.п.1-2'!$C$46</definedName>
    <definedName name="_80h_E49">'Одоевского п~ д.3 к.1 стр.п.1-2'!$C$47</definedName>
    <definedName name="_80h_E50">'Одоевского п~ д.3 к.1 стр.п.1-2'!$C$48</definedName>
    <definedName name="_80h_E51">'Одоевского п~ д.3 к.1 стр.п.1-2'!$C$49</definedName>
    <definedName name="_80h_E52">'Одоевского п~ д.3 к.1 стр.п.1-2'!#REF!</definedName>
    <definedName name="_80h_E53">'Одоевского п~ д.3 к.1 стр.п.1-2'!$C$50</definedName>
    <definedName name="_80h_E54">'Одоевского п~ д.3 к.1 стр.п.1-2'!$C$51</definedName>
    <definedName name="_80h_E55">'Одоевского п~ д.3 к.1 стр.п.1-2'!$C$52</definedName>
    <definedName name="_80h_E56">'Одоевского п~ д.3 к.1 стр.п.1-2'!$C$53</definedName>
    <definedName name="_80h_E57">'Одоевского п~ д.3 к.1 стр.п.1-2'!$C$54</definedName>
    <definedName name="_80h_E58">'Одоевского п~ д.3 к.1 стр.п.1-2'!$C$55</definedName>
    <definedName name="_80h_E59">'Одоевского п~ д.3 к.1 стр.п.1-2'!$C$56</definedName>
    <definedName name="_80h_E60">'Одоевского п~ д.3 к.1 стр.п.1-2'!$C$57</definedName>
    <definedName name="_80h_E61">'Одоевского п~ д.3 к.1 стр.п.1-2'!$C$58</definedName>
    <definedName name="_80h_E62">'Одоевского п~ д.3 к.1 стр.п.1-2'!$C$59</definedName>
    <definedName name="_80h_E63">'Одоевского п~ д.3 к.1 стр.п.1-2'!#REF!</definedName>
    <definedName name="_80h_E64">'Одоевского п~ д.3 к.1 стр.п.1-2'!$C$60</definedName>
    <definedName name="_80h_E65">'Одоевского п~ д.3 к.1 стр.п.1-2'!$C$61</definedName>
    <definedName name="_80h_E7">'Одоевского п~ д.3 к.1 стр.п.1-2'!$C$5</definedName>
    <definedName name="_80h_E8">'Одоевского п~ д.3 к.1 стр.п.1-2'!$C$6</definedName>
    <definedName name="_80h_E9">'Одоевского п~ д.3 к.1 стр.п.1-2'!$C$7</definedName>
    <definedName name="_80h_F10">'Одоевского п~ д.3 к.1 стр.п.1-2'!$D$8</definedName>
    <definedName name="_80h_F11">'Одоевского п~ д.3 к.1 стр.п.1-2'!$D$9</definedName>
    <definedName name="_80h_F12">'Одоевского п~ д.3 к.1 стр.п.1-2'!$D$10</definedName>
    <definedName name="_80h_F13">'Одоевского п~ д.3 к.1 стр.п.1-2'!$D$11</definedName>
    <definedName name="_80h_F14">'Одоевского п~ д.3 к.1 стр.п.1-2'!$D$12</definedName>
    <definedName name="_80h_F15">'Одоевского п~ д.3 к.1 стр.п.1-2'!$D$13</definedName>
    <definedName name="_80h_F16">'Одоевского п~ д.3 к.1 стр.п.1-2'!$D$14</definedName>
    <definedName name="_80h_F17">'Одоевского п~ д.3 к.1 стр.п.1-2'!$D$15</definedName>
    <definedName name="_80h_F18">'Одоевского п~ д.3 к.1 стр.п.1-2'!$D$16</definedName>
    <definedName name="_80h_F19">'Одоевского п~ д.3 к.1 стр.п.1-2'!$D$17</definedName>
    <definedName name="_80h_F20">'Одоевского п~ д.3 к.1 стр.п.1-2'!$D$18</definedName>
    <definedName name="_80h_F21">'Одоевского п~ д.3 к.1 стр.п.1-2'!$D$19</definedName>
    <definedName name="_80h_F22">'Одоевского п~ д.3 к.1 стр.п.1-2'!$D$20</definedName>
    <definedName name="_80h_F23">'Одоевского п~ д.3 к.1 стр.п.1-2'!$D$21</definedName>
    <definedName name="_80h_F24">'Одоевского п~ д.3 к.1 стр.п.1-2'!$D$22</definedName>
    <definedName name="_80h_F25">'Одоевского п~ д.3 к.1 стр.п.1-2'!$D$23</definedName>
    <definedName name="_80h_F26">'Одоевского п~ д.3 к.1 стр.п.1-2'!$D$24</definedName>
    <definedName name="_80h_F27">'Одоевского п~ д.3 к.1 стр.п.1-2'!$D$25</definedName>
    <definedName name="_80h_F28">'Одоевского п~ д.3 к.1 стр.п.1-2'!$D$26</definedName>
    <definedName name="_80h_F29">'Одоевского п~ д.3 к.1 стр.п.1-2'!$D$27</definedName>
    <definedName name="_80h_F30">'Одоевского п~ д.3 к.1 стр.п.1-2'!$D$28</definedName>
    <definedName name="_80h_F31">'Одоевского п~ д.3 к.1 стр.п.1-2'!$D$29</definedName>
    <definedName name="_80h_F32">'Одоевского п~ д.3 к.1 стр.п.1-2'!$D$30</definedName>
    <definedName name="_80h_F33">'Одоевского п~ д.3 к.1 стр.п.1-2'!$D$31</definedName>
    <definedName name="_80h_F34">'Одоевского п~ д.3 к.1 стр.п.1-2'!$D$32</definedName>
    <definedName name="_80h_F35">'Одоевского п~ д.3 к.1 стр.п.1-2'!$D$33</definedName>
    <definedName name="_80h_F36">'Одоевского п~ д.3 к.1 стр.п.1-2'!$D$34</definedName>
    <definedName name="_80h_F37">'Одоевского п~ д.3 к.1 стр.п.1-2'!$D$35</definedName>
    <definedName name="_80h_F38">'Одоевского п~ д.3 к.1 стр.п.1-2'!$D$36</definedName>
    <definedName name="_80h_F39">'Одоевского п~ д.3 к.1 стр.п.1-2'!$D$37</definedName>
    <definedName name="_80h_F40">'Одоевского п~ д.3 к.1 стр.п.1-2'!$D$38</definedName>
    <definedName name="_80h_F41">'Одоевского п~ д.3 к.1 стр.п.1-2'!$D$39</definedName>
    <definedName name="_80h_F42">'Одоевского п~ д.3 к.1 стр.п.1-2'!$D$40</definedName>
    <definedName name="_80h_F43">'Одоевского п~ д.3 к.1 стр.п.1-2'!$D$41</definedName>
    <definedName name="_80h_F44">'Одоевского п~ д.3 к.1 стр.п.1-2'!$D$42</definedName>
    <definedName name="_80h_F45">'Одоевского п~ д.3 к.1 стр.п.1-2'!$D$43</definedName>
    <definedName name="_80h_F46">'Одоевского п~ д.3 к.1 стр.п.1-2'!$D$44</definedName>
    <definedName name="_80h_F47">'Одоевского п~ д.3 к.1 стр.п.1-2'!$D$45</definedName>
    <definedName name="_80h_F48">'Одоевского п~ д.3 к.1 стр.п.1-2'!$D$46</definedName>
    <definedName name="_80h_F49">'Одоевского п~ д.3 к.1 стр.п.1-2'!$D$47</definedName>
    <definedName name="_80h_F50">'Одоевского п~ д.3 к.1 стр.п.1-2'!$D$48</definedName>
    <definedName name="_80h_F51">'Одоевского п~ д.3 к.1 стр.п.1-2'!$D$49</definedName>
    <definedName name="_80h_F52">'Одоевского п~ д.3 к.1 стр.п.1-2'!#REF!</definedName>
    <definedName name="_80h_F53">'Одоевского п~ д.3 к.1 стр.п.1-2'!$D$50</definedName>
    <definedName name="_80h_F54">'Одоевского п~ д.3 к.1 стр.п.1-2'!$D$51</definedName>
    <definedName name="_80h_F55">'Одоевского п~ д.3 к.1 стр.п.1-2'!$D$52</definedName>
    <definedName name="_80h_F56">'Одоевского п~ д.3 к.1 стр.п.1-2'!$D$53</definedName>
    <definedName name="_80h_F57">'Одоевского п~ д.3 к.1 стр.п.1-2'!$D$54</definedName>
    <definedName name="_80h_F58">'Одоевского п~ д.3 к.1 стр.п.1-2'!$D$55</definedName>
    <definedName name="_80h_F59">'Одоевского п~ д.3 к.1 стр.п.1-2'!$D$56</definedName>
    <definedName name="_80h_F60">'Одоевского п~ д.3 к.1 стр.п.1-2'!$D$57</definedName>
    <definedName name="_80h_F61">'Одоевского п~ д.3 к.1 стр.п.1-2'!$D$58</definedName>
    <definedName name="_80h_F62">'Одоевского п~ д.3 к.1 стр.п.1-2'!$D$59</definedName>
    <definedName name="_80h_F63">'Одоевского п~ д.3 к.1 стр.п.1-2'!#REF!</definedName>
    <definedName name="_80h_F64">'Одоевского п~ д.3 к.1 стр.п.1-2'!$D$60</definedName>
    <definedName name="_80h_F65">'Одоевского п~ д.3 к.1 стр.п.1-2'!$D$61</definedName>
    <definedName name="_80h_F7">'Одоевского п~ д.3 к.1 стр.п.1-2'!$D$5</definedName>
    <definedName name="_80h_F8">'Одоевского п~ д.3 к.1 стр.п.1-2'!$D$6</definedName>
    <definedName name="_80h_F9">'Одоевского п~ д.3 к.1 стр.п.1-2'!$D$7</definedName>
    <definedName name="_81h_E10">'Одоевского п~ д.3 к.2 стр.п.3-4'!$C$8</definedName>
    <definedName name="_81h_E11">'Одоевского п~ д.3 к.2 стр.п.3-4'!$C$9</definedName>
    <definedName name="_81h_E12">'Одоевского п~ д.3 к.2 стр.п.3-4'!$C$10</definedName>
    <definedName name="_81h_E13">'Одоевского п~ д.3 к.2 стр.п.3-4'!$C$11</definedName>
    <definedName name="_81h_E14">'Одоевского п~ д.3 к.2 стр.п.3-4'!$C$12</definedName>
    <definedName name="_81h_E15">'Одоевского п~ д.3 к.2 стр.п.3-4'!$C$13</definedName>
    <definedName name="_81h_E16">'Одоевского п~ д.3 к.2 стр.п.3-4'!$C$14</definedName>
    <definedName name="_81h_E17">'Одоевского п~ д.3 к.2 стр.п.3-4'!$C$15</definedName>
    <definedName name="_81h_E18">'Одоевского п~ д.3 к.2 стр.п.3-4'!$C$16</definedName>
    <definedName name="_81h_E19">'Одоевского п~ д.3 к.2 стр.п.3-4'!$C$17</definedName>
    <definedName name="_81h_E20">'Одоевского п~ д.3 к.2 стр.п.3-4'!$C$18</definedName>
    <definedName name="_81h_E21">'Одоевского п~ д.3 к.2 стр.п.3-4'!$C$19</definedName>
    <definedName name="_81h_E22">'Одоевского п~ д.3 к.2 стр.п.3-4'!$C$20</definedName>
    <definedName name="_81h_E23">'Одоевского п~ д.3 к.2 стр.п.3-4'!$C$21</definedName>
    <definedName name="_81h_E24">'Одоевского п~ д.3 к.2 стр.п.3-4'!$C$22</definedName>
    <definedName name="_81h_E25">'Одоевского п~ д.3 к.2 стр.п.3-4'!$C$23</definedName>
    <definedName name="_81h_E26">'Одоевского п~ д.3 к.2 стр.п.3-4'!$C$24</definedName>
    <definedName name="_81h_E27">'Одоевского п~ д.3 к.2 стр.п.3-4'!$C$25</definedName>
    <definedName name="_81h_E28">'Одоевского п~ д.3 к.2 стр.п.3-4'!$C$26</definedName>
    <definedName name="_81h_E29">'Одоевского п~ д.3 к.2 стр.п.3-4'!$C$27</definedName>
    <definedName name="_81h_E30">'Одоевского п~ д.3 к.2 стр.п.3-4'!$C$28</definedName>
    <definedName name="_81h_E31">'Одоевского п~ д.3 к.2 стр.п.3-4'!$C$29</definedName>
    <definedName name="_81h_E32">'Одоевского п~ д.3 к.2 стр.п.3-4'!$C$30</definedName>
    <definedName name="_81h_E33">'Одоевского п~ д.3 к.2 стр.п.3-4'!$C$31</definedName>
    <definedName name="_81h_E34">'Одоевского п~ д.3 к.2 стр.п.3-4'!$C$32</definedName>
    <definedName name="_81h_E35">'Одоевского п~ д.3 к.2 стр.п.3-4'!$C$33</definedName>
    <definedName name="_81h_E36">'Одоевского п~ д.3 к.2 стр.п.3-4'!$C$34</definedName>
    <definedName name="_81h_E37">'Одоевского п~ д.3 к.2 стр.п.3-4'!$C$35</definedName>
    <definedName name="_81h_E38">'Одоевского п~ д.3 к.2 стр.п.3-4'!$C$36</definedName>
    <definedName name="_81h_E39">'Одоевского п~ д.3 к.2 стр.п.3-4'!$C$37</definedName>
    <definedName name="_81h_E40">'Одоевского п~ д.3 к.2 стр.п.3-4'!$C$38</definedName>
    <definedName name="_81h_E41">'Одоевского п~ д.3 к.2 стр.п.3-4'!$C$39</definedName>
    <definedName name="_81h_E42">'Одоевского п~ д.3 к.2 стр.п.3-4'!$C$40</definedName>
    <definedName name="_81h_E43">'Одоевского п~ д.3 к.2 стр.п.3-4'!$C$41</definedName>
    <definedName name="_81h_E44">'Одоевского п~ д.3 к.2 стр.п.3-4'!$C$42</definedName>
    <definedName name="_81h_E45">'Одоевского п~ д.3 к.2 стр.п.3-4'!$C$43</definedName>
    <definedName name="_81h_E46">'Одоевского п~ д.3 к.2 стр.п.3-4'!$C$44</definedName>
    <definedName name="_81h_E47">'Одоевского п~ д.3 к.2 стр.п.3-4'!$C$45</definedName>
    <definedName name="_81h_E48">'Одоевского п~ д.3 к.2 стр.п.3-4'!$C$46</definedName>
    <definedName name="_81h_E49">'Одоевского п~ д.3 к.2 стр.п.3-4'!$C$47</definedName>
    <definedName name="_81h_E50">'Одоевского п~ д.3 к.2 стр.п.3-4'!$C$48</definedName>
    <definedName name="_81h_E51">'Одоевского п~ д.3 к.2 стр.п.3-4'!$C$49</definedName>
    <definedName name="_81h_E52">'Одоевского п~ д.3 к.2 стр.п.3-4'!#REF!</definedName>
    <definedName name="_81h_E53">'Одоевского п~ д.3 к.2 стр.п.3-4'!$C$50</definedName>
    <definedName name="_81h_E54">'Одоевского п~ д.3 к.2 стр.п.3-4'!$C$51</definedName>
    <definedName name="_81h_E55">'Одоевского п~ д.3 к.2 стр.п.3-4'!$C$52</definedName>
    <definedName name="_81h_E56">'Одоевского п~ д.3 к.2 стр.п.3-4'!$C$53</definedName>
    <definedName name="_81h_E57">'Одоевского п~ д.3 к.2 стр.п.3-4'!$C$54</definedName>
    <definedName name="_81h_E58">'Одоевского п~ д.3 к.2 стр.п.3-4'!$C$55</definedName>
    <definedName name="_81h_E59">'Одоевского п~ д.3 к.2 стр.п.3-4'!$C$56</definedName>
    <definedName name="_81h_E60">'Одоевского п~ д.3 к.2 стр.п.3-4'!$C$57</definedName>
    <definedName name="_81h_E61">'Одоевского п~ д.3 к.2 стр.п.3-4'!$C$58</definedName>
    <definedName name="_81h_E62">'Одоевского п~ д.3 к.2 стр.п.3-4'!$C$59</definedName>
    <definedName name="_81h_E63">'Одоевского п~ д.3 к.2 стр.п.3-4'!#REF!</definedName>
    <definedName name="_81h_E64">'Одоевского п~ д.3 к.2 стр.п.3-4'!$C$60</definedName>
    <definedName name="_81h_E65">'Одоевского п~ д.3 к.2 стр.п.3-4'!$C$61</definedName>
    <definedName name="_81h_E7">'Одоевского п~ д.3 к.2 стр.п.3-4'!$C$5</definedName>
    <definedName name="_81h_E8">'Одоевского п~ д.3 к.2 стр.п.3-4'!$C$6</definedName>
    <definedName name="_81h_E9">'Одоевского п~ д.3 к.2 стр.п.3-4'!$C$7</definedName>
    <definedName name="_81h_F10">'Одоевского п~ д.3 к.2 стр.п.3-4'!$D$8</definedName>
    <definedName name="_81h_F11">'Одоевского п~ д.3 к.2 стр.п.3-4'!$D$9</definedName>
    <definedName name="_81h_F12">'Одоевского п~ д.3 к.2 стр.п.3-4'!$D$10</definedName>
    <definedName name="_81h_F13">'Одоевского п~ д.3 к.2 стр.п.3-4'!$D$11</definedName>
    <definedName name="_81h_F14">'Одоевского п~ д.3 к.2 стр.п.3-4'!$D$12</definedName>
    <definedName name="_81h_F15">'Одоевского п~ д.3 к.2 стр.п.3-4'!$D$13</definedName>
    <definedName name="_81h_F16">'Одоевского п~ д.3 к.2 стр.п.3-4'!$D$14</definedName>
    <definedName name="_81h_F17">'Одоевского п~ д.3 к.2 стр.п.3-4'!$D$15</definedName>
    <definedName name="_81h_F18">'Одоевского п~ д.3 к.2 стр.п.3-4'!$D$16</definedName>
    <definedName name="_81h_F19">'Одоевского п~ д.3 к.2 стр.п.3-4'!$D$17</definedName>
    <definedName name="_81h_F20">'Одоевского п~ д.3 к.2 стр.п.3-4'!$D$18</definedName>
    <definedName name="_81h_F21">'Одоевского п~ д.3 к.2 стр.п.3-4'!$D$19</definedName>
    <definedName name="_81h_F22">'Одоевского п~ д.3 к.2 стр.п.3-4'!$D$20</definedName>
    <definedName name="_81h_F23">'Одоевского п~ д.3 к.2 стр.п.3-4'!$D$21</definedName>
    <definedName name="_81h_F24">'Одоевского п~ д.3 к.2 стр.п.3-4'!$D$22</definedName>
    <definedName name="_81h_F25">'Одоевского п~ д.3 к.2 стр.п.3-4'!$D$23</definedName>
    <definedName name="_81h_F26">'Одоевского п~ д.3 к.2 стр.п.3-4'!$D$24</definedName>
    <definedName name="_81h_F27">'Одоевского п~ д.3 к.2 стр.п.3-4'!$D$25</definedName>
    <definedName name="_81h_F28">'Одоевского п~ д.3 к.2 стр.п.3-4'!$D$26</definedName>
    <definedName name="_81h_F29">'Одоевского п~ д.3 к.2 стр.п.3-4'!$D$27</definedName>
    <definedName name="_81h_F30">'Одоевского п~ д.3 к.2 стр.п.3-4'!$D$28</definedName>
    <definedName name="_81h_F31">'Одоевского п~ д.3 к.2 стр.п.3-4'!$D$29</definedName>
    <definedName name="_81h_F32">'Одоевского п~ д.3 к.2 стр.п.3-4'!$D$30</definedName>
    <definedName name="_81h_F33">'Одоевского п~ д.3 к.2 стр.п.3-4'!$D$31</definedName>
    <definedName name="_81h_F34">'Одоевского п~ д.3 к.2 стр.п.3-4'!$D$32</definedName>
    <definedName name="_81h_F35">'Одоевского п~ д.3 к.2 стр.п.3-4'!$D$33</definedName>
    <definedName name="_81h_F36">'Одоевского п~ д.3 к.2 стр.п.3-4'!$D$34</definedName>
    <definedName name="_81h_F37">'Одоевского п~ д.3 к.2 стр.п.3-4'!$D$35</definedName>
    <definedName name="_81h_F38">'Одоевского п~ д.3 к.2 стр.п.3-4'!$D$36</definedName>
    <definedName name="_81h_F39">'Одоевского п~ д.3 к.2 стр.п.3-4'!$D$37</definedName>
    <definedName name="_81h_F40">'Одоевского п~ д.3 к.2 стр.п.3-4'!$D$38</definedName>
    <definedName name="_81h_F41">'Одоевского п~ д.3 к.2 стр.п.3-4'!$D$39</definedName>
    <definedName name="_81h_F42">'Одоевского п~ д.3 к.2 стр.п.3-4'!$D$40</definedName>
    <definedName name="_81h_F43">'Одоевского п~ д.3 к.2 стр.п.3-4'!$D$41</definedName>
    <definedName name="_81h_F44">'Одоевского п~ д.3 к.2 стр.п.3-4'!$D$42</definedName>
    <definedName name="_81h_F45">'Одоевского п~ д.3 к.2 стр.п.3-4'!$D$43</definedName>
    <definedName name="_81h_F46">'Одоевского п~ д.3 к.2 стр.п.3-4'!$D$44</definedName>
    <definedName name="_81h_F47">'Одоевского п~ д.3 к.2 стр.п.3-4'!$D$45</definedName>
    <definedName name="_81h_F48">'Одоевского п~ д.3 к.2 стр.п.3-4'!$D$46</definedName>
    <definedName name="_81h_F49">'Одоевского п~ д.3 к.2 стр.п.3-4'!$D$47</definedName>
    <definedName name="_81h_F50">'Одоевского п~ д.3 к.2 стр.п.3-4'!$D$48</definedName>
    <definedName name="_81h_F51">'Одоевского п~ д.3 к.2 стр.п.3-4'!$D$49</definedName>
    <definedName name="_81h_F52">'Одоевского п~ д.3 к.2 стр.п.3-4'!#REF!</definedName>
    <definedName name="_81h_F53">'Одоевского п~ д.3 к.2 стр.п.3-4'!$D$50</definedName>
    <definedName name="_81h_F54">'Одоевского п~ д.3 к.2 стр.п.3-4'!$D$51</definedName>
    <definedName name="_81h_F55">'Одоевского п~ д.3 к.2 стр.п.3-4'!$D$52</definedName>
    <definedName name="_81h_F56">'Одоевского п~ д.3 к.2 стр.п.3-4'!$D$53</definedName>
    <definedName name="_81h_F57">'Одоевского п~ д.3 к.2 стр.п.3-4'!$D$54</definedName>
    <definedName name="_81h_F58">'Одоевского п~ д.3 к.2 стр.п.3-4'!$D$55</definedName>
    <definedName name="_81h_F59">'Одоевского п~ д.3 к.2 стр.п.3-4'!$D$56</definedName>
    <definedName name="_81h_F60">'Одоевского п~ д.3 к.2 стр.п.3-4'!$D$57</definedName>
    <definedName name="_81h_F61">'Одоевского п~ д.3 к.2 стр.п.3-4'!$D$58</definedName>
    <definedName name="_81h_F62">'Одоевского п~ д.3 к.2 стр.п.3-4'!$D$59</definedName>
    <definedName name="_81h_F63">'Одоевского п~ д.3 к.2 стр.п.3-4'!#REF!</definedName>
    <definedName name="_81h_F64">'Одоевского п~ д.3 к.2 стр.п.3-4'!$D$60</definedName>
    <definedName name="_81h_F65">'Одоевского п~ д.3 к.2 стр.п.3-4'!$D$61</definedName>
    <definedName name="_81h_F7">'Одоевского п~ д.3 к.2 стр.п.3-4'!$D$5</definedName>
    <definedName name="_81h_F8">'Одоевского п~ д.3 к.2 стр.п.3-4'!$D$6</definedName>
    <definedName name="_81h_F9">'Одоевского п~ д.3 к.2 стр.п.3-4'!$D$7</definedName>
    <definedName name="_82h_E10">'Одоевского п~ д.3 к.3 стр.п.5-6'!$C$8</definedName>
    <definedName name="_82h_E11">'Одоевского п~ д.3 к.3 стр.п.5-6'!$C$9</definedName>
    <definedName name="_82h_E12">'Одоевского п~ д.3 к.3 стр.п.5-6'!$C$10</definedName>
    <definedName name="_82h_E13">'Одоевского п~ д.3 к.3 стр.п.5-6'!$C$11</definedName>
    <definedName name="_82h_E14">'Одоевского п~ д.3 к.3 стр.п.5-6'!$C$12</definedName>
    <definedName name="_82h_E15">'Одоевского п~ д.3 к.3 стр.п.5-6'!$C$13</definedName>
    <definedName name="_82h_E16">'Одоевского п~ д.3 к.3 стр.п.5-6'!$C$14</definedName>
    <definedName name="_82h_E17">'Одоевского п~ д.3 к.3 стр.п.5-6'!$C$15</definedName>
    <definedName name="_82h_E18">'Одоевского п~ д.3 к.3 стр.п.5-6'!$C$16</definedName>
    <definedName name="_82h_E19">'Одоевского п~ д.3 к.3 стр.п.5-6'!$C$17</definedName>
    <definedName name="_82h_E20">'Одоевского п~ д.3 к.3 стр.п.5-6'!$C$18</definedName>
    <definedName name="_82h_E21">'Одоевского п~ д.3 к.3 стр.п.5-6'!$C$19</definedName>
    <definedName name="_82h_E22">'Одоевского п~ д.3 к.3 стр.п.5-6'!$C$20</definedName>
    <definedName name="_82h_E23">'Одоевского п~ д.3 к.3 стр.п.5-6'!$C$21</definedName>
    <definedName name="_82h_E24">'Одоевского п~ д.3 к.3 стр.п.5-6'!$C$22</definedName>
    <definedName name="_82h_E25">'Одоевского п~ д.3 к.3 стр.п.5-6'!$C$23</definedName>
    <definedName name="_82h_E26">'Одоевского п~ д.3 к.3 стр.п.5-6'!$C$24</definedName>
    <definedName name="_82h_E27">'Одоевского п~ д.3 к.3 стр.п.5-6'!$C$25</definedName>
    <definedName name="_82h_E28">'Одоевского п~ д.3 к.3 стр.п.5-6'!$C$26</definedName>
    <definedName name="_82h_E29">'Одоевского п~ д.3 к.3 стр.п.5-6'!$C$27</definedName>
    <definedName name="_82h_E30">'Одоевского п~ д.3 к.3 стр.п.5-6'!$C$28</definedName>
    <definedName name="_82h_E31">'Одоевского п~ д.3 к.3 стр.п.5-6'!$C$29</definedName>
    <definedName name="_82h_E32">'Одоевского п~ д.3 к.3 стр.п.5-6'!$C$30</definedName>
    <definedName name="_82h_E33">'Одоевского п~ д.3 к.3 стр.п.5-6'!$C$31</definedName>
    <definedName name="_82h_E34">'Одоевского п~ д.3 к.3 стр.п.5-6'!$C$32</definedName>
    <definedName name="_82h_E35">'Одоевского п~ д.3 к.3 стр.п.5-6'!$C$33</definedName>
    <definedName name="_82h_E36">'Одоевского п~ д.3 к.3 стр.п.5-6'!$C$34</definedName>
    <definedName name="_82h_E37">'Одоевского п~ д.3 к.3 стр.п.5-6'!$C$35</definedName>
    <definedName name="_82h_E38">'Одоевского п~ д.3 к.3 стр.п.5-6'!$C$36</definedName>
    <definedName name="_82h_E39">'Одоевского п~ д.3 к.3 стр.п.5-6'!$C$37</definedName>
    <definedName name="_82h_E40">'Одоевского п~ д.3 к.3 стр.п.5-6'!$C$38</definedName>
    <definedName name="_82h_E41">'Одоевского п~ д.3 к.3 стр.п.5-6'!$C$39</definedName>
    <definedName name="_82h_E42">'Одоевского п~ д.3 к.3 стр.п.5-6'!$C$40</definedName>
    <definedName name="_82h_E43">'Одоевского п~ д.3 к.3 стр.п.5-6'!$C$41</definedName>
    <definedName name="_82h_E44">'Одоевского п~ д.3 к.3 стр.п.5-6'!$C$42</definedName>
    <definedName name="_82h_E45">'Одоевского п~ д.3 к.3 стр.п.5-6'!$C$43</definedName>
    <definedName name="_82h_E46">'Одоевского п~ д.3 к.3 стр.п.5-6'!$C$44</definedName>
    <definedName name="_82h_E47">'Одоевского п~ д.3 к.3 стр.п.5-6'!$C$45</definedName>
    <definedName name="_82h_E48">'Одоевского п~ д.3 к.3 стр.п.5-6'!$C$46</definedName>
    <definedName name="_82h_E49">'Одоевского п~ д.3 к.3 стр.п.5-6'!$C$47</definedName>
    <definedName name="_82h_E50">'Одоевского п~ д.3 к.3 стр.п.5-6'!$C$48</definedName>
    <definedName name="_82h_E51">'Одоевского п~ д.3 к.3 стр.п.5-6'!$C$49</definedName>
    <definedName name="_82h_E52">'Одоевского п~ д.3 к.3 стр.п.5-6'!#REF!</definedName>
    <definedName name="_82h_E53">'Одоевского п~ д.3 к.3 стр.п.5-6'!$C$50</definedName>
    <definedName name="_82h_E54">'Одоевского п~ д.3 к.3 стр.п.5-6'!$C$51</definedName>
    <definedName name="_82h_E55">'Одоевского п~ д.3 к.3 стр.п.5-6'!$C$52</definedName>
    <definedName name="_82h_E56">'Одоевского п~ д.3 к.3 стр.п.5-6'!$C$53</definedName>
    <definedName name="_82h_E57">'Одоевского п~ д.3 к.3 стр.п.5-6'!$C$54</definedName>
    <definedName name="_82h_E58">'Одоевского п~ д.3 к.3 стр.п.5-6'!$C$55</definedName>
    <definedName name="_82h_E59">'Одоевского п~ д.3 к.3 стр.п.5-6'!$C$56</definedName>
    <definedName name="_82h_E60">'Одоевского п~ д.3 к.3 стр.п.5-6'!$C$57</definedName>
    <definedName name="_82h_E61">'Одоевского п~ д.3 к.3 стр.п.5-6'!$C$58</definedName>
    <definedName name="_82h_E62">'Одоевского п~ д.3 к.3 стр.п.5-6'!$C$59</definedName>
    <definedName name="_82h_E63">'Одоевского п~ д.3 к.3 стр.п.5-6'!#REF!</definedName>
    <definedName name="_82h_E64">'Одоевского п~ д.3 к.3 стр.п.5-6'!$C$60</definedName>
    <definedName name="_82h_E65">'Одоевского п~ д.3 к.3 стр.п.5-6'!$C$61</definedName>
    <definedName name="_82h_E7">'Одоевского п~ д.3 к.3 стр.п.5-6'!$C$5</definedName>
    <definedName name="_82h_E8">'Одоевского п~ д.3 к.3 стр.п.5-6'!$C$6</definedName>
    <definedName name="_82h_E9">'Одоевского п~ д.3 к.3 стр.п.5-6'!$C$7</definedName>
    <definedName name="_82h_F10">'Одоевского п~ д.3 к.3 стр.п.5-6'!$D$8</definedName>
    <definedName name="_82h_F11">'Одоевского п~ д.3 к.3 стр.п.5-6'!$D$9</definedName>
    <definedName name="_82h_F12">'Одоевского п~ д.3 к.3 стр.п.5-6'!$D$10</definedName>
    <definedName name="_82h_F13">'Одоевского п~ д.3 к.3 стр.п.5-6'!$D$11</definedName>
    <definedName name="_82h_F14">'Одоевского п~ д.3 к.3 стр.п.5-6'!$D$12</definedName>
    <definedName name="_82h_F15">'Одоевского п~ д.3 к.3 стр.п.5-6'!$D$13</definedName>
    <definedName name="_82h_F16">'Одоевского п~ д.3 к.3 стр.п.5-6'!$D$14</definedName>
    <definedName name="_82h_F17">'Одоевского п~ д.3 к.3 стр.п.5-6'!$D$15</definedName>
    <definedName name="_82h_F18">'Одоевского п~ д.3 к.3 стр.п.5-6'!$D$16</definedName>
    <definedName name="_82h_F19">'Одоевского п~ д.3 к.3 стр.п.5-6'!$D$17</definedName>
    <definedName name="_82h_F20">'Одоевского п~ д.3 к.3 стр.п.5-6'!$D$18</definedName>
    <definedName name="_82h_F21">'Одоевского п~ д.3 к.3 стр.п.5-6'!$D$19</definedName>
    <definedName name="_82h_F22">'Одоевского п~ д.3 к.3 стр.п.5-6'!$D$20</definedName>
    <definedName name="_82h_F23">'Одоевского п~ д.3 к.3 стр.п.5-6'!$D$21</definedName>
    <definedName name="_82h_F24">'Одоевского п~ д.3 к.3 стр.п.5-6'!$D$22</definedName>
    <definedName name="_82h_F25">'Одоевского п~ д.3 к.3 стр.п.5-6'!$D$23</definedName>
    <definedName name="_82h_F26">'Одоевского п~ д.3 к.3 стр.п.5-6'!$D$24</definedName>
    <definedName name="_82h_F27">'Одоевского п~ д.3 к.3 стр.п.5-6'!$D$25</definedName>
    <definedName name="_82h_F28">'Одоевского п~ д.3 к.3 стр.п.5-6'!$D$26</definedName>
    <definedName name="_82h_F29">'Одоевского п~ д.3 к.3 стр.п.5-6'!$D$27</definedName>
    <definedName name="_82h_F30">'Одоевского п~ д.3 к.3 стр.п.5-6'!$D$28</definedName>
    <definedName name="_82h_F31">'Одоевского п~ д.3 к.3 стр.п.5-6'!$D$29</definedName>
    <definedName name="_82h_F32">'Одоевского п~ д.3 к.3 стр.п.5-6'!$D$30</definedName>
    <definedName name="_82h_F33">'Одоевского п~ д.3 к.3 стр.п.5-6'!$D$31</definedName>
    <definedName name="_82h_F34">'Одоевского п~ д.3 к.3 стр.п.5-6'!$D$32</definedName>
    <definedName name="_82h_F35">'Одоевского п~ д.3 к.3 стр.п.5-6'!$D$33</definedName>
    <definedName name="_82h_F36">'Одоевского п~ д.3 к.3 стр.п.5-6'!$D$34</definedName>
    <definedName name="_82h_F37">'Одоевского п~ д.3 к.3 стр.п.5-6'!$D$35</definedName>
    <definedName name="_82h_F38">'Одоевского п~ д.3 к.3 стр.п.5-6'!$D$36</definedName>
    <definedName name="_82h_F39">'Одоевского п~ д.3 к.3 стр.п.5-6'!$D$37</definedName>
    <definedName name="_82h_F40">'Одоевского п~ д.3 к.3 стр.п.5-6'!$D$38</definedName>
    <definedName name="_82h_F41">'Одоевского п~ д.3 к.3 стр.п.5-6'!$D$39</definedName>
    <definedName name="_82h_F42">'Одоевского п~ д.3 к.3 стр.п.5-6'!$D$40</definedName>
    <definedName name="_82h_F43">'Одоевского п~ д.3 к.3 стр.п.5-6'!$D$41</definedName>
    <definedName name="_82h_F44">'Одоевского п~ д.3 к.3 стр.п.5-6'!$D$42</definedName>
    <definedName name="_82h_F45">'Одоевского п~ д.3 к.3 стр.п.5-6'!$D$43</definedName>
    <definedName name="_82h_F46">'Одоевского п~ д.3 к.3 стр.п.5-6'!$D$44</definedName>
    <definedName name="_82h_F47">'Одоевского п~ д.3 к.3 стр.п.5-6'!$D$45</definedName>
    <definedName name="_82h_F48">'Одоевского п~ д.3 к.3 стр.п.5-6'!$D$46</definedName>
    <definedName name="_82h_F49">'Одоевского п~ д.3 к.3 стр.п.5-6'!$D$47</definedName>
    <definedName name="_82h_F50">'Одоевского п~ д.3 к.3 стр.п.5-6'!$D$48</definedName>
    <definedName name="_82h_F51">'Одоевского п~ д.3 к.3 стр.п.5-6'!$D$49</definedName>
    <definedName name="_82h_F52">'Одоевского п~ д.3 к.3 стр.п.5-6'!#REF!</definedName>
    <definedName name="_82h_F53">'Одоевского п~ д.3 к.3 стр.п.5-6'!$D$50</definedName>
    <definedName name="_82h_F54">'Одоевского п~ д.3 к.3 стр.п.5-6'!$D$51</definedName>
    <definedName name="_82h_F55">'Одоевского п~ д.3 к.3 стр.п.5-6'!$D$52</definedName>
    <definedName name="_82h_F56">'Одоевского п~ д.3 к.3 стр.п.5-6'!$D$53</definedName>
    <definedName name="_82h_F57">'Одоевского п~ д.3 к.3 стр.п.5-6'!$D$54</definedName>
    <definedName name="_82h_F58">'Одоевского п~ д.3 к.3 стр.п.5-6'!$D$55</definedName>
    <definedName name="_82h_F59">'Одоевского п~ д.3 к.3 стр.п.5-6'!$D$56</definedName>
    <definedName name="_82h_F60">'Одоевского п~ д.3 к.3 стр.п.5-6'!$D$57</definedName>
    <definedName name="_82h_F61">'Одоевского п~ д.3 к.3 стр.п.5-6'!$D$58</definedName>
    <definedName name="_82h_F62">'Одоевского п~ д.3 к.3 стр.п.5-6'!$D$59</definedName>
    <definedName name="_82h_F63">'Одоевского п~ д.3 к.3 стр.п.5-6'!#REF!</definedName>
    <definedName name="_82h_F64">'Одоевского п~ д.3 к.3 стр.п.5-6'!$D$60</definedName>
    <definedName name="_82h_F65">'Одоевского п~ д.3 к.3 стр.п.5-6'!$D$61</definedName>
    <definedName name="_82h_F7">'Одоевского п~ д.3 к.3 стр.п.5-6'!$D$5</definedName>
    <definedName name="_82h_F8">'Одоевского п~ д.3 к.3 стр.п.5-6'!$D$6</definedName>
    <definedName name="_82h_F9">'Одоевского п~ д.3 к.3 стр.п.5-6'!$D$7</definedName>
    <definedName name="_83h_E10">'Одоевского п~ д.3 к.4 стр.п.7-8'!$C$8</definedName>
    <definedName name="_83h_E11">'Одоевского п~ д.3 к.4 стр.п.7-8'!$C$9</definedName>
    <definedName name="_83h_E12">'Одоевского п~ д.3 к.4 стр.п.7-8'!$C$10</definedName>
    <definedName name="_83h_E13">'Одоевского п~ д.3 к.4 стр.п.7-8'!$C$11</definedName>
    <definedName name="_83h_E14">'Одоевского п~ д.3 к.4 стр.п.7-8'!$C$12</definedName>
    <definedName name="_83h_E15">'Одоевского п~ д.3 к.4 стр.п.7-8'!$C$13</definedName>
    <definedName name="_83h_E16">'Одоевского п~ д.3 к.4 стр.п.7-8'!$C$14</definedName>
    <definedName name="_83h_E17">'Одоевского п~ д.3 к.4 стр.п.7-8'!$C$15</definedName>
    <definedName name="_83h_E18">'Одоевского п~ д.3 к.4 стр.п.7-8'!$C$16</definedName>
    <definedName name="_83h_E19">'Одоевского п~ д.3 к.4 стр.п.7-8'!$C$17</definedName>
    <definedName name="_83h_E20">'Одоевского п~ д.3 к.4 стр.п.7-8'!$C$18</definedName>
    <definedName name="_83h_E21">'Одоевского п~ д.3 к.4 стр.п.7-8'!$C$19</definedName>
    <definedName name="_83h_E22">'Одоевского п~ д.3 к.4 стр.п.7-8'!$C$20</definedName>
    <definedName name="_83h_E23">'Одоевского п~ д.3 к.4 стр.п.7-8'!$C$21</definedName>
    <definedName name="_83h_E24">'Одоевского п~ д.3 к.4 стр.п.7-8'!$C$22</definedName>
    <definedName name="_83h_E25">'Одоевского п~ д.3 к.4 стр.п.7-8'!$C$23</definedName>
    <definedName name="_83h_E26">'Одоевского п~ д.3 к.4 стр.п.7-8'!$C$24</definedName>
    <definedName name="_83h_E27">'Одоевского п~ д.3 к.4 стр.п.7-8'!$C$25</definedName>
    <definedName name="_83h_E28">'Одоевского п~ д.3 к.4 стр.п.7-8'!$C$26</definedName>
    <definedName name="_83h_E29">'Одоевского п~ д.3 к.4 стр.п.7-8'!$C$27</definedName>
    <definedName name="_83h_E30">'Одоевского п~ д.3 к.4 стр.п.7-8'!$C$28</definedName>
    <definedName name="_83h_E31">'Одоевского п~ д.3 к.4 стр.п.7-8'!$C$29</definedName>
    <definedName name="_83h_E32">'Одоевского п~ д.3 к.4 стр.п.7-8'!$C$30</definedName>
    <definedName name="_83h_E33">'Одоевского п~ д.3 к.4 стр.п.7-8'!$C$31</definedName>
    <definedName name="_83h_E34">'Одоевского п~ д.3 к.4 стр.п.7-8'!$C$32</definedName>
    <definedName name="_83h_E35">'Одоевского п~ д.3 к.4 стр.п.7-8'!$C$33</definedName>
    <definedName name="_83h_E36">'Одоевского п~ д.3 к.4 стр.п.7-8'!$C$34</definedName>
    <definedName name="_83h_E37">'Одоевского п~ д.3 к.4 стр.п.7-8'!$C$35</definedName>
    <definedName name="_83h_E38">'Одоевского п~ д.3 к.4 стр.п.7-8'!$C$36</definedName>
    <definedName name="_83h_E39">'Одоевского п~ д.3 к.4 стр.п.7-8'!$C$37</definedName>
    <definedName name="_83h_E40">'Одоевского п~ д.3 к.4 стр.п.7-8'!$C$38</definedName>
    <definedName name="_83h_E41">'Одоевского п~ д.3 к.4 стр.п.7-8'!$C$39</definedName>
    <definedName name="_83h_E42">'Одоевского п~ д.3 к.4 стр.п.7-8'!$C$40</definedName>
    <definedName name="_83h_E43">'Одоевского п~ д.3 к.4 стр.п.7-8'!$C$41</definedName>
    <definedName name="_83h_E44">'Одоевского п~ д.3 к.4 стр.п.7-8'!$C$42</definedName>
    <definedName name="_83h_E45">'Одоевского п~ д.3 к.4 стр.п.7-8'!$C$43</definedName>
    <definedName name="_83h_E46">'Одоевского п~ д.3 к.4 стр.п.7-8'!$C$44</definedName>
    <definedName name="_83h_E47">'Одоевского п~ д.3 к.4 стр.п.7-8'!$C$45</definedName>
    <definedName name="_83h_E48">'Одоевского п~ д.3 к.4 стр.п.7-8'!$C$46</definedName>
    <definedName name="_83h_E49">'Одоевского п~ д.3 к.4 стр.п.7-8'!$C$47</definedName>
    <definedName name="_83h_E50">'Одоевского п~ д.3 к.4 стр.п.7-8'!$C$48</definedName>
    <definedName name="_83h_E51">'Одоевского п~ д.3 к.4 стр.п.7-8'!$C$49</definedName>
    <definedName name="_83h_E52">'Одоевского п~ д.3 к.4 стр.п.7-8'!#REF!</definedName>
    <definedName name="_83h_E53">'Одоевского п~ д.3 к.4 стр.п.7-8'!$C$50</definedName>
    <definedName name="_83h_E54">'Одоевского п~ д.3 к.4 стр.п.7-8'!$C$51</definedName>
    <definedName name="_83h_E55">'Одоевского п~ д.3 к.4 стр.п.7-8'!$C$52</definedName>
    <definedName name="_83h_E56">'Одоевского п~ д.3 к.4 стр.п.7-8'!$C$53</definedName>
    <definedName name="_83h_E57">'Одоевского п~ д.3 к.4 стр.п.7-8'!$C$54</definedName>
    <definedName name="_83h_E58">'Одоевского п~ д.3 к.4 стр.п.7-8'!$C$55</definedName>
    <definedName name="_83h_E59">'Одоевского п~ д.3 к.4 стр.п.7-8'!$C$56</definedName>
    <definedName name="_83h_E60">'Одоевского п~ д.3 к.4 стр.п.7-8'!$C$57</definedName>
    <definedName name="_83h_E61">'Одоевского п~ д.3 к.4 стр.п.7-8'!$C$58</definedName>
    <definedName name="_83h_E62">'Одоевского п~ д.3 к.4 стр.п.7-8'!$C$59</definedName>
    <definedName name="_83h_E63">'Одоевского п~ д.3 к.4 стр.п.7-8'!#REF!</definedName>
    <definedName name="_83h_E64">'Одоевского п~ д.3 к.4 стр.п.7-8'!$C$60</definedName>
    <definedName name="_83h_E65">'Одоевского п~ д.3 к.4 стр.п.7-8'!$C$61</definedName>
    <definedName name="_83h_E7">'Одоевского п~ д.3 к.4 стр.п.7-8'!$C$5</definedName>
    <definedName name="_83h_E8">'Одоевского п~ д.3 к.4 стр.п.7-8'!$C$6</definedName>
    <definedName name="_83h_E9">'Одоевского п~ д.3 к.4 стр.п.7-8'!$C$7</definedName>
    <definedName name="_83h_F10">'Одоевского п~ д.3 к.4 стр.п.7-8'!$D$8</definedName>
    <definedName name="_83h_F11">'Одоевского п~ д.3 к.4 стр.п.7-8'!$D$9</definedName>
    <definedName name="_83h_F12">'Одоевского п~ д.3 к.4 стр.п.7-8'!$D$10</definedName>
    <definedName name="_83h_F13">'Одоевского п~ д.3 к.4 стр.п.7-8'!$D$11</definedName>
    <definedName name="_83h_F14">'Одоевского п~ д.3 к.4 стр.п.7-8'!$D$12</definedName>
    <definedName name="_83h_F15">'Одоевского п~ д.3 к.4 стр.п.7-8'!$D$13</definedName>
    <definedName name="_83h_F16">'Одоевского п~ д.3 к.4 стр.п.7-8'!$D$14</definedName>
    <definedName name="_83h_F17">'Одоевского п~ д.3 к.4 стр.п.7-8'!$D$15</definedName>
    <definedName name="_83h_F18">'Одоевского п~ д.3 к.4 стр.п.7-8'!$D$16</definedName>
    <definedName name="_83h_F19">'Одоевского п~ д.3 к.4 стр.п.7-8'!$D$17</definedName>
    <definedName name="_83h_F20">'Одоевского п~ д.3 к.4 стр.п.7-8'!$D$18</definedName>
    <definedName name="_83h_F21">'Одоевского п~ д.3 к.4 стр.п.7-8'!$D$19</definedName>
    <definedName name="_83h_F22">'Одоевского п~ д.3 к.4 стр.п.7-8'!$D$20</definedName>
    <definedName name="_83h_F23">'Одоевского п~ д.3 к.4 стр.п.7-8'!$D$21</definedName>
    <definedName name="_83h_F24">'Одоевского п~ д.3 к.4 стр.п.7-8'!$D$22</definedName>
    <definedName name="_83h_F25">'Одоевского п~ д.3 к.4 стр.п.7-8'!$D$23</definedName>
    <definedName name="_83h_F26">'Одоевского п~ д.3 к.4 стр.п.7-8'!$D$24</definedName>
    <definedName name="_83h_F27">'Одоевского п~ д.3 к.4 стр.п.7-8'!$D$25</definedName>
    <definedName name="_83h_F28">'Одоевского п~ д.3 к.4 стр.п.7-8'!$D$26</definedName>
    <definedName name="_83h_F29">'Одоевского п~ д.3 к.4 стр.п.7-8'!$D$27</definedName>
    <definedName name="_83h_F30">'Одоевского п~ д.3 к.4 стр.п.7-8'!$D$28</definedName>
    <definedName name="_83h_F31">'Одоевского п~ д.3 к.4 стр.п.7-8'!$D$29</definedName>
    <definedName name="_83h_F32">'Одоевского п~ д.3 к.4 стр.п.7-8'!$D$30</definedName>
    <definedName name="_83h_F33">'Одоевского п~ д.3 к.4 стр.п.7-8'!$D$31</definedName>
    <definedName name="_83h_F34">'Одоевского п~ д.3 к.4 стр.п.7-8'!$D$32</definedName>
    <definedName name="_83h_F35">'Одоевского п~ д.3 к.4 стр.п.7-8'!$D$33</definedName>
    <definedName name="_83h_F36">'Одоевского п~ д.3 к.4 стр.п.7-8'!$D$34</definedName>
    <definedName name="_83h_F37">'Одоевского п~ д.3 к.4 стр.п.7-8'!$D$35</definedName>
    <definedName name="_83h_F38">'Одоевского п~ д.3 к.4 стр.п.7-8'!$D$36</definedName>
    <definedName name="_83h_F39">'Одоевского п~ д.3 к.4 стр.п.7-8'!$D$37</definedName>
    <definedName name="_83h_F40">'Одоевского п~ д.3 к.4 стр.п.7-8'!$D$38</definedName>
    <definedName name="_83h_F41">'Одоевского п~ д.3 к.4 стр.п.7-8'!$D$39</definedName>
    <definedName name="_83h_F42">'Одоевского п~ д.3 к.4 стр.п.7-8'!$D$40</definedName>
    <definedName name="_83h_F43">'Одоевского п~ д.3 к.4 стр.п.7-8'!$D$41</definedName>
    <definedName name="_83h_F44">'Одоевского п~ д.3 к.4 стр.п.7-8'!$D$42</definedName>
    <definedName name="_83h_F45">'Одоевского п~ д.3 к.4 стр.п.7-8'!$D$43</definedName>
    <definedName name="_83h_F46">'Одоевского п~ д.3 к.4 стр.п.7-8'!$D$44</definedName>
    <definedName name="_83h_F47">'Одоевского п~ д.3 к.4 стр.п.7-8'!$D$45</definedName>
    <definedName name="_83h_F48">'Одоевского п~ д.3 к.4 стр.п.7-8'!$D$46</definedName>
    <definedName name="_83h_F49">'Одоевского п~ д.3 к.4 стр.п.7-8'!$D$47</definedName>
    <definedName name="_83h_F50">'Одоевского п~ д.3 к.4 стр.п.7-8'!$D$48</definedName>
    <definedName name="_83h_F51">'Одоевского п~ д.3 к.4 стр.п.7-8'!$D$49</definedName>
    <definedName name="_83h_F52">'Одоевского п~ д.3 к.4 стр.п.7-8'!#REF!</definedName>
    <definedName name="_83h_F53">'Одоевского п~ д.3 к.4 стр.п.7-8'!$D$50</definedName>
    <definedName name="_83h_F54">'Одоевского п~ д.3 к.4 стр.п.7-8'!$D$51</definedName>
    <definedName name="_83h_F55">'Одоевского п~ д.3 к.4 стр.п.7-8'!$D$52</definedName>
    <definedName name="_83h_F56">'Одоевского п~ д.3 к.4 стр.п.7-8'!$D$53</definedName>
    <definedName name="_83h_F57">'Одоевского п~ д.3 к.4 стр.п.7-8'!$D$54</definedName>
    <definedName name="_83h_F58">'Одоевского п~ д.3 к.4 стр.п.7-8'!$D$55</definedName>
    <definedName name="_83h_F59">'Одоевского п~ д.3 к.4 стр.п.7-8'!$D$56</definedName>
    <definedName name="_83h_F60">'Одоевского п~ д.3 к.4 стр.п.7-8'!$D$57</definedName>
    <definedName name="_83h_F61">'Одоевского п~ д.3 к.4 стр.п.7-8'!$D$58</definedName>
    <definedName name="_83h_F62">'Одоевского п~ д.3 к.4 стр.п.7-8'!$D$59</definedName>
    <definedName name="_83h_F63">'Одоевского п~ д.3 к.4 стр.п.7-8'!#REF!</definedName>
    <definedName name="_83h_F64">'Одоевского п~ д.3 к.4 стр.п.7-8'!$D$60</definedName>
    <definedName name="_83h_F65">'Одоевского п~ д.3 к.4 стр.п.7-8'!$D$61</definedName>
    <definedName name="_83h_F7">'Одоевского п~ д.3 к.4 стр.п.7-8'!$D$5</definedName>
    <definedName name="_83h_F8">'Одоевского п~ д.3 к.4 стр.п.7-8'!$D$6</definedName>
    <definedName name="_83h_F9">'Одоевского п~ д.3 к.4 стр.п.7-8'!$D$7</definedName>
    <definedName name="_84h_E10">'Одоевского ~ д.3 к.5 стр.п.9-10'!$C$8</definedName>
    <definedName name="_84h_E11">'Одоевского ~ д.3 к.5 стр.п.9-10'!$C$9</definedName>
    <definedName name="_84h_E12">'Одоевского ~ д.3 к.5 стр.п.9-10'!$C$10</definedName>
    <definedName name="_84h_E13">'Одоевского ~ д.3 к.5 стр.п.9-10'!$C$11</definedName>
    <definedName name="_84h_E14">'Одоевского ~ д.3 к.5 стр.п.9-10'!$C$12</definedName>
    <definedName name="_84h_E15">'Одоевского ~ д.3 к.5 стр.п.9-10'!$C$13</definedName>
    <definedName name="_84h_E16">'Одоевского ~ д.3 к.5 стр.п.9-10'!$C$14</definedName>
    <definedName name="_84h_E17">'Одоевского ~ д.3 к.5 стр.п.9-10'!$C$15</definedName>
    <definedName name="_84h_E18">'Одоевского ~ д.3 к.5 стр.п.9-10'!$C$16</definedName>
    <definedName name="_84h_E19">'Одоевского ~ д.3 к.5 стр.п.9-10'!$C$17</definedName>
    <definedName name="_84h_E20">'Одоевского ~ д.3 к.5 стр.п.9-10'!$C$18</definedName>
    <definedName name="_84h_E21">'Одоевского ~ д.3 к.5 стр.п.9-10'!$C$19</definedName>
    <definedName name="_84h_E22">'Одоевского ~ д.3 к.5 стр.п.9-10'!$C$20</definedName>
    <definedName name="_84h_E23">'Одоевского ~ д.3 к.5 стр.п.9-10'!$C$21</definedName>
    <definedName name="_84h_E24">'Одоевского ~ д.3 к.5 стр.п.9-10'!$C$22</definedName>
    <definedName name="_84h_E25">'Одоевского ~ д.3 к.5 стр.п.9-10'!$C$23</definedName>
    <definedName name="_84h_E26">'Одоевского ~ д.3 к.5 стр.п.9-10'!$C$24</definedName>
    <definedName name="_84h_E27">'Одоевского ~ д.3 к.5 стр.п.9-10'!$C$25</definedName>
    <definedName name="_84h_E28">'Одоевского ~ д.3 к.5 стр.п.9-10'!$C$26</definedName>
    <definedName name="_84h_E29">'Одоевского ~ д.3 к.5 стр.п.9-10'!$C$27</definedName>
    <definedName name="_84h_E30">'Одоевского ~ д.3 к.5 стр.п.9-10'!$C$28</definedName>
    <definedName name="_84h_E31">'Одоевского ~ д.3 к.5 стр.п.9-10'!$C$29</definedName>
    <definedName name="_84h_E32">'Одоевского ~ д.3 к.5 стр.п.9-10'!$C$30</definedName>
    <definedName name="_84h_E33">'Одоевского ~ д.3 к.5 стр.п.9-10'!$C$31</definedName>
    <definedName name="_84h_E34">'Одоевского ~ д.3 к.5 стр.п.9-10'!$C$32</definedName>
    <definedName name="_84h_E35">'Одоевского ~ д.3 к.5 стр.п.9-10'!$C$33</definedName>
    <definedName name="_84h_E36">'Одоевского ~ д.3 к.5 стр.п.9-10'!$C$34</definedName>
    <definedName name="_84h_E37">'Одоевского ~ д.3 к.5 стр.п.9-10'!$C$35</definedName>
    <definedName name="_84h_E38">'Одоевского ~ д.3 к.5 стр.п.9-10'!$C$36</definedName>
    <definedName name="_84h_E39">'Одоевского ~ д.3 к.5 стр.п.9-10'!$C$37</definedName>
    <definedName name="_84h_E40">'Одоевского ~ д.3 к.5 стр.п.9-10'!$C$38</definedName>
    <definedName name="_84h_E41">'Одоевского ~ д.3 к.5 стр.п.9-10'!$C$39</definedName>
    <definedName name="_84h_E42">'Одоевского ~ д.3 к.5 стр.п.9-10'!$C$40</definedName>
    <definedName name="_84h_E43">'Одоевского ~ д.3 к.5 стр.п.9-10'!$C$41</definedName>
    <definedName name="_84h_E44">'Одоевского ~ д.3 к.5 стр.п.9-10'!$C$42</definedName>
    <definedName name="_84h_E45">'Одоевского ~ д.3 к.5 стр.п.9-10'!$C$43</definedName>
    <definedName name="_84h_E46">'Одоевского ~ д.3 к.5 стр.п.9-10'!$C$44</definedName>
    <definedName name="_84h_E47">'Одоевского ~ д.3 к.5 стр.п.9-10'!$C$45</definedName>
    <definedName name="_84h_E48">'Одоевского ~ д.3 к.5 стр.п.9-10'!$C$46</definedName>
    <definedName name="_84h_E49">'Одоевского ~ д.3 к.5 стр.п.9-10'!$C$47</definedName>
    <definedName name="_84h_E50">'Одоевского ~ д.3 к.5 стр.п.9-10'!$C$48</definedName>
    <definedName name="_84h_E51">'Одоевского ~ д.3 к.5 стр.п.9-10'!$C$49</definedName>
    <definedName name="_84h_E52">'Одоевского ~ д.3 к.5 стр.п.9-10'!#REF!</definedName>
    <definedName name="_84h_E53">'Одоевского ~ д.3 к.5 стр.п.9-10'!$C$50</definedName>
    <definedName name="_84h_E54">'Одоевского ~ д.3 к.5 стр.п.9-10'!$C$51</definedName>
    <definedName name="_84h_E55">'Одоевского ~ д.3 к.5 стр.п.9-10'!$C$52</definedName>
    <definedName name="_84h_E56">'Одоевского ~ д.3 к.5 стр.п.9-10'!$C$53</definedName>
    <definedName name="_84h_E57">'Одоевского ~ д.3 к.5 стр.п.9-10'!$C$54</definedName>
    <definedName name="_84h_E58">'Одоевского ~ д.3 к.5 стр.п.9-10'!$C$55</definedName>
    <definedName name="_84h_E59">'Одоевского ~ д.3 к.5 стр.п.9-10'!$C$56</definedName>
    <definedName name="_84h_E60">'Одоевского ~ д.3 к.5 стр.п.9-10'!$C$57</definedName>
    <definedName name="_84h_E61">'Одоевского ~ д.3 к.5 стр.п.9-10'!$C$58</definedName>
    <definedName name="_84h_E62">'Одоевского ~ д.3 к.5 стр.п.9-10'!$C$59</definedName>
    <definedName name="_84h_E63">'Одоевского ~ д.3 к.5 стр.п.9-10'!#REF!</definedName>
    <definedName name="_84h_E64">'Одоевского ~ д.3 к.5 стр.п.9-10'!$C$60</definedName>
    <definedName name="_84h_E65">'Одоевского ~ д.3 к.5 стр.п.9-10'!$C$61</definedName>
    <definedName name="_84h_E7">'Одоевского ~ д.3 к.5 стр.п.9-10'!$C$5</definedName>
    <definedName name="_84h_E8">'Одоевского ~ д.3 к.5 стр.п.9-10'!$C$6</definedName>
    <definedName name="_84h_E9">'Одоевского ~ д.3 к.5 стр.п.9-10'!$C$7</definedName>
    <definedName name="_84h_F10">'Одоевского ~ д.3 к.5 стр.п.9-10'!$D$8</definedName>
    <definedName name="_84h_F11">'Одоевского ~ д.3 к.5 стр.п.9-10'!$D$9</definedName>
    <definedName name="_84h_F12">'Одоевского ~ д.3 к.5 стр.п.9-10'!$D$10</definedName>
    <definedName name="_84h_F13">'Одоевского ~ д.3 к.5 стр.п.9-10'!$D$11</definedName>
    <definedName name="_84h_F14">'Одоевского ~ д.3 к.5 стр.п.9-10'!$D$12</definedName>
    <definedName name="_84h_F15">'Одоевского ~ д.3 к.5 стр.п.9-10'!$D$13</definedName>
    <definedName name="_84h_F16">'Одоевского ~ д.3 к.5 стр.п.9-10'!$D$14</definedName>
    <definedName name="_84h_F17">'Одоевского ~ д.3 к.5 стр.п.9-10'!$D$15</definedName>
    <definedName name="_84h_F18">'Одоевского ~ д.3 к.5 стр.п.9-10'!$D$16</definedName>
    <definedName name="_84h_F19">'Одоевского ~ д.3 к.5 стр.п.9-10'!$D$17</definedName>
    <definedName name="_84h_F20">'Одоевского ~ д.3 к.5 стр.п.9-10'!$D$18</definedName>
    <definedName name="_84h_F21">'Одоевского ~ д.3 к.5 стр.п.9-10'!$D$19</definedName>
    <definedName name="_84h_F22">'Одоевского ~ д.3 к.5 стр.п.9-10'!$D$20</definedName>
    <definedName name="_84h_F23">'Одоевского ~ д.3 к.5 стр.п.9-10'!$D$21</definedName>
    <definedName name="_84h_F24">'Одоевского ~ д.3 к.5 стр.п.9-10'!$D$22</definedName>
    <definedName name="_84h_F25">'Одоевского ~ д.3 к.5 стр.п.9-10'!$D$23</definedName>
    <definedName name="_84h_F26">'Одоевского ~ д.3 к.5 стр.п.9-10'!$D$24</definedName>
    <definedName name="_84h_F27">'Одоевского ~ д.3 к.5 стр.п.9-10'!$D$25</definedName>
    <definedName name="_84h_F28">'Одоевского ~ д.3 к.5 стр.п.9-10'!$D$26</definedName>
    <definedName name="_84h_F29">'Одоевского ~ д.3 к.5 стр.п.9-10'!$D$27</definedName>
    <definedName name="_84h_F30">'Одоевского ~ д.3 к.5 стр.п.9-10'!$D$28</definedName>
    <definedName name="_84h_F31">'Одоевского ~ д.3 к.5 стр.п.9-10'!$D$29</definedName>
    <definedName name="_84h_F32">'Одоевского ~ д.3 к.5 стр.п.9-10'!$D$30</definedName>
    <definedName name="_84h_F33">'Одоевского ~ д.3 к.5 стр.п.9-10'!$D$31</definedName>
    <definedName name="_84h_F34">'Одоевского ~ д.3 к.5 стр.п.9-10'!$D$32</definedName>
    <definedName name="_84h_F35">'Одоевского ~ д.3 к.5 стр.п.9-10'!$D$33</definedName>
    <definedName name="_84h_F36">'Одоевского ~ д.3 к.5 стр.п.9-10'!$D$34</definedName>
    <definedName name="_84h_F37">'Одоевского ~ д.3 к.5 стр.п.9-10'!$D$35</definedName>
    <definedName name="_84h_F38">'Одоевского ~ д.3 к.5 стр.п.9-10'!$D$36</definedName>
    <definedName name="_84h_F39">'Одоевского ~ д.3 к.5 стр.п.9-10'!$D$37</definedName>
    <definedName name="_84h_F40">'Одоевского ~ д.3 к.5 стр.п.9-10'!$D$38</definedName>
    <definedName name="_84h_F41">'Одоевского ~ д.3 к.5 стр.п.9-10'!$D$39</definedName>
    <definedName name="_84h_F42">'Одоевского ~ д.3 к.5 стр.п.9-10'!$D$40</definedName>
    <definedName name="_84h_F43">'Одоевского ~ д.3 к.5 стр.п.9-10'!$D$41</definedName>
    <definedName name="_84h_F44">'Одоевского ~ д.3 к.5 стр.п.9-10'!$D$42</definedName>
    <definedName name="_84h_F45">'Одоевского ~ д.3 к.5 стр.п.9-10'!$D$43</definedName>
    <definedName name="_84h_F46">'Одоевского ~ д.3 к.5 стр.п.9-10'!$D$44</definedName>
    <definedName name="_84h_F47">'Одоевского ~ д.3 к.5 стр.п.9-10'!$D$45</definedName>
    <definedName name="_84h_F48">'Одоевского ~ д.3 к.5 стр.п.9-10'!$D$46</definedName>
    <definedName name="_84h_F49">'Одоевского ~ д.3 к.5 стр.п.9-10'!$D$47</definedName>
    <definedName name="_84h_F50">'Одоевского ~ д.3 к.5 стр.п.9-10'!$D$48</definedName>
    <definedName name="_84h_F51">'Одоевского ~ д.3 к.5 стр.п.9-10'!$D$49</definedName>
    <definedName name="_84h_F52">'Одоевского ~ д.3 к.5 стр.п.9-10'!#REF!</definedName>
    <definedName name="_84h_F53">'Одоевского ~ д.3 к.5 стр.п.9-10'!$D$50</definedName>
    <definedName name="_84h_F54">'Одоевского ~ д.3 к.5 стр.п.9-10'!$D$51</definedName>
    <definedName name="_84h_F55">'Одоевского ~ д.3 к.5 стр.п.9-10'!$D$52</definedName>
    <definedName name="_84h_F56">'Одоевского ~ д.3 к.5 стр.п.9-10'!$D$53</definedName>
    <definedName name="_84h_F57">'Одоевского ~ д.3 к.5 стр.п.9-10'!$D$54</definedName>
    <definedName name="_84h_F58">'Одоевского ~ д.3 к.5 стр.п.9-10'!$D$55</definedName>
    <definedName name="_84h_F59">'Одоевского ~ д.3 к.5 стр.п.9-10'!$D$56</definedName>
    <definedName name="_84h_F60">'Одоевского ~ д.3 к.5 стр.п.9-10'!$D$57</definedName>
    <definedName name="_84h_F61">'Одоевского ~ д.3 к.5 стр.п.9-10'!$D$58</definedName>
    <definedName name="_84h_F62">'Одоевского ~ д.3 к.5 стр.п.9-10'!$D$59</definedName>
    <definedName name="_84h_F63">'Одоевского ~ д.3 к.5 стр.п.9-10'!#REF!</definedName>
    <definedName name="_84h_F64">'Одоевского ~ д.3 к.5 стр.п.9-10'!$D$60</definedName>
    <definedName name="_84h_F65">'Одоевского ~ д.3 к.5 стр.п.9-10'!$D$61</definedName>
    <definedName name="_84h_F7">'Одоевского ~ д.3 к.5 стр.п.9-10'!$D$5</definedName>
    <definedName name="_84h_F8">'Одоевского ~ д.3 к.5 стр.п.9-10'!$D$6</definedName>
    <definedName name="_84h_F9">'Одоевского ~ д.3 к.5 стр.п.9-10'!$D$7</definedName>
    <definedName name="_85h_E10">'Одоевского~ д.3 к.6 стр.п.11-12'!$C$8</definedName>
    <definedName name="_85h_E11">'Одоевского~ д.3 к.6 стр.п.11-12'!$C$9</definedName>
    <definedName name="_85h_E12">'Одоевского~ д.3 к.6 стр.п.11-12'!$C$10</definedName>
    <definedName name="_85h_E13">'Одоевского~ д.3 к.6 стр.п.11-12'!$C$11</definedName>
    <definedName name="_85h_E14">'Одоевского~ д.3 к.6 стр.п.11-12'!$C$12</definedName>
    <definedName name="_85h_E15">'Одоевского~ д.3 к.6 стр.п.11-12'!$C$13</definedName>
    <definedName name="_85h_E16">'Одоевского~ д.3 к.6 стр.п.11-12'!$C$14</definedName>
    <definedName name="_85h_E17">'Одоевского~ д.3 к.6 стр.п.11-12'!$C$15</definedName>
    <definedName name="_85h_E18">'Одоевского~ д.3 к.6 стр.п.11-12'!$C$16</definedName>
    <definedName name="_85h_E19">'Одоевского~ д.3 к.6 стр.п.11-12'!$C$17</definedName>
    <definedName name="_85h_E20">'Одоевского~ д.3 к.6 стр.п.11-12'!$C$18</definedName>
    <definedName name="_85h_E21">'Одоевского~ д.3 к.6 стр.п.11-12'!$C$19</definedName>
    <definedName name="_85h_E22">'Одоевского~ д.3 к.6 стр.п.11-12'!$C$20</definedName>
    <definedName name="_85h_E23">'Одоевского~ д.3 к.6 стр.п.11-12'!$C$21</definedName>
    <definedName name="_85h_E24">'Одоевского~ д.3 к.6 стр.п.11-12'!$C$22</definedName>
    <definedName name="_85h_E25">'Одоевского~ д.3 к.6 стр.п.11-12'!$C$23</definedName>
    <definedName name="_85h_E26">'Одоевского~ д.3 к.6 стр.п.11-12'!$C$24</definedName>
    <definedName name="_85h_E27">'Одоевского~ д.3 к.6 стр.п.11-12'!$C$25</definedName>
    <definedName name="_85h_E28">'Одоевского~ д.3 к.6 стр.п.11-12'!$C$26</definedName>
    <definedName name="_85h_E29">'Одоевского~ д.3 к.6 стр.п.11-12'!$C$27</definedName>
    <definedName name="_85h_E30">'Одоевского~ д.3 к.6 стр.п.11-12'!$C$28</definedName>
    <definedName name="_85h_E31">'Одоевского~ д.3 к.6 стр.п.11-12'!$C$29</definedName>
    <definedName name="_85h_E32">'Одоевского~ д.3 к.6 стр.п.11-12'!$C$30</definedName>
    <definedName name="_85h_E33">'Одоевского~ д.3 к.6 стр.п.11-12'!$C$31</definedName>
    <definedName name="_85h_E34">'Одоевского~ д.3 к.6 стр.п.11-12'!$C$32</definedName>
    <definedName name="_85h_E35">'Одоевского~ д.3 к.6 стр.п.11-12'!$C$33</definedName>
    <definedName name="_85h_E36">'Одоевского~ д.3 к.6 стр.п.11-12'!$C$34</definedName>
    <definedName name="_85h_E37">'Одоевского~ д.3 к.6 стр.п.11-12'!$C$35</definedName>
    <definedName name="_85h_E38">'Одоевского~ д.3 к.6 стр.п.11-12'!$C$36</definedName>
    <definedName name="_85h_E39">'Одоевского~ д.3 к.6 стр.п.11-12'!$C$37</definedName>
    <definedName name="_85h_E40">'Одоевского~ д.3 к.6 стр.п.11-12'!$C$38</definedName>
    <definedName name="_85h_E41">'Одоевского~ д.3 к.6 стр.п.11-12'!$C$39</definedName>
    <definedName name="_85h_E42">'Одоевского~ д.3 к.6 стр.п.11-12'!$C$40</definedName>
    <definedName name="_85h_E43">'Одоевского~ д.3 к.6 стр.п.11-12'!$C$41</definedName>
    <definedName name="_85h_E44">'Одоевского~ д.3 к.6 стр.п.11-12'!$C$42</definedName>
    <definedName name="_85h_E45">'Одоевского~ д.3 к.6 стр.п.11-12'!$C$43</definedName>
    <definedName name="_85h_E46">'Одоевского~ д.3 к.6 стр.п.11-12'!$C$44</definedName>
    <definedName name="_85h_E47">'Одоевского~ д.3 к.6 стр.п.11-12'!$C$45</definedName>
    <definedName name="_85h_E48">'Одоевского~ д.3 к.6 стр.п.11-12'!$C$46</definedName>
    <definedName name="_85h_E49">'Одоевского~ д.3 к.6 стр.п.11-12'!$C$47</definedName>
    <definedName name="_85h_E50">'Одоевского~ д.3 к.6 стр.п.11-12'!$C$48</definedName>
    <definedName name="_85h_E51">'Одоевского~ д.3 к.6 стр.п.11-12'!$C$49</definedName>
    <definedName name="_85h_E52">'Одоевского~ д.3 к.6 стр.п.11-12'!#REF!</definedName>
    <definedName name="_85h_E53">'Одоевского~ д.3 к.6 стр.п.11-12'!$C$50</definedName>
    <definedName name="_85h_E54">'Одоевского~ д.3 к.6 стр.п.11-12'!$C$51</definedName>
    <definedName name="_85h_E55">'Одоевского~ д.3 к.6 стр.п.11-12'!$C$52</definedName>
    <definedName name="_85h_E56">'Одоевского~ д.3 к.6 стр.п.11-12'!$C$53</definedName>
    <definedName name="_85h_E57">'Одоевского~ д.3 к.6 стр.п.11-12'!$C$54</definedName>
    <definedName name="_85h_E58">'Одоевского~ д.3 к.6 стр.п.11-12'!$C$55</definedName>
    <definedName name="_85h_E59">'Одоевского~ д.3 к.6 стр.п.11-12'!$C$56</definedName>
    <definedName name="_85h_E60">'Одоевского~ д.3 к.6 стр.п.11-12'!$C$57</definedName>
    <definedName name="_85h_E61">'Одоевского~ д.3 к.6 стр.п.11-12'!$C$58</definedName>
    <definedName name="_85h_E62">'Одоевского~ д.3 к.6 стр.п.11-12'!$C$59</definedName>
    <definedName name="_85h_E63">'Одоевского~ д.3 к.6 стр.п.11-12'!#REF!</definedName>
    <definedName name="_85h_E64">'Одоевского~ д.3 к.6 стр.п.11-12'!$C$60</definedName>
    <definedName name="_85h_E65">'Одоевского~ д.3 к.6 стр.п.11-12'!$C$61</definedName>
    <definedName name="_85h_E7">'Одоевского~ д.3 к.6 стр.п.11-12'!$C$5</definedName>
    <definedName name="_85h_E8">'Одоевского~ д.3 к.6 стр.п.11-12'!$C$6</definedName>
    <definedName name="_85h_E9">'Одоевского~ д.3 к.6 стр.п.11-12'!$C$7</definedName>
    <definedName name="_85h_F10">'Одоевского~ д.3 к.6 стр.п.11-12'!$D$8</definedName>
    <definedName name="_85h_F11">'Одоевского~ д.3 к.6 стр.п.11-12'!$D$9</definedName>
    <definedName name="_85h_F12">'Одоевского~ д.3 к.6 стр.п.11-12'!$D$10</definedName>
    <definedName name="_85h_F13">'Одоевского~ д.3 к.6 стр.п.11-12'!$D$11</definedName>
    <definedName name="_85h_F14">'Одоевского~ д.3 к.6 стр.п.11-12'!$D$12</definedName>
    <definedName name="_85h_F15">'Одоевского~ д.3 к.6 стр.п.11-12'!$D$13</definedName>
    <definedName name="_85h_F16">'Одоевского~ д.3 к.6 стр.п.11-12'!$D$14</definedName>
    <definedName name="_85h_F17">'Одоевского~ д.3 к.6 стр.п.11-12'!$D$15</definedName>
    <definedName name="_85h_F18">'Одоевского~ д.3 к.6 стр.п.11-12'!$D$16</definedName>
    <definedName name="_85h_F19">'Одоевского~ д.3 к.6 стр.п.11-12'!$D$17</definedName>
    <definedName name="_85h_F20">'Одоевского~ д.3 к.6 стр.п.11-12'!$D$18</definedName>
    <definedName name="_85h_F21">'Одоевского~ д.3 к.6 стр.п.11-12'!$D$19</definedName>
    <definedName name="_85h_F22">'Одоевского~ д.3 к.6 стр.п.11-12'!$D$20</definedName>
    <definedName name="_85h_F23">'Одоевского~ д.3 к.6 стр.п.11-12'!$D$21</definedName>
    <definedName name="_85h_F24">'Одоевского~ д.3 к.6 стр.п.11-12'!$D$22</definedName>
    <definedName name="_85h_F25">'Одоевского~ д.3 к.6 стр.п.11-12'!$D$23</definedName>
    <definedName name="_85h_F26">'Одоевского~ д.3 к.6 стр.п.11-12'!$D$24</definedName>
    <definedName name="_85h_F27">'Одоевского~ д.3 к.6 стр.п.11-12'!$D$25</definedName>
    <definedName name="_85h_F28">'Одоевского~ д.3 к.6 стр.п.11-12'!$D$26</definedName>
    <definedName name="_85h_F29">'Одоевского~ д.3 к.6 стр.п.11-12'!$D$27</definedName>
    <definedName name="_85h_F30">'Одоевского~ д.3 к.6 стр.п.11-12'!$D$28</definedName>
    <definedName name="_85h_F31">'Одоевского~ д.3 к.6 стр.п.11-12'!$D$29</definedName>
    <definedName name="_85h_F32">'Одоевского~ д.3 к.6 стр.п.11-12'!$D$30</definedName>
    <definedName name="_85h_F33">'Одоевского~ д.3 к.6 стр.п.11-12'!$D$31</definedName>
    <definedName name="_85h_F34">'Одоевского~ д.3 к.6 стр.п.11-12'!$D$32</definedName>
    <definedName name="_85h_F35">'Одоевского~ д.3 к.6 стр.п.11-12'!$D$33</definedName>
    <definedName name="_85h_F36">'Одоевского~ д.3 к.6 стр.п.11-12'!$D$34</definedName>
    <definedName name="_85h_F37">'Одоевского~ д.3 к.6 стр.п.11-12'!$D$35</definedName>
    <definedName name="_85h_F38">'Одоевского~ д.3 к.6 стр.п.11-12'!$D$36</definedName>
    <definedName name="_85h_F39">'Одоевского~ д.3 к.6 стр.п.11-12'!$D$37</definedName>
    <definedName name="_85h_F40">'Одоевского~ д.3 к.6 стр.п.11-12'!$D$38</definedName>
    <definedName name="_85h_F41">'Одоевского~ д.3 к.6 стр.п.11-12'!$D$39</definedName>
    <definedName name="_85h_F42">'Одоевского~ д.3 к.6 стр.п.11-12'!$D$40</definedName>
    <definedName name="_85h_F43">'Одоевского~ д.3 к.6 стр.п.11-12'!$D$41</definedName>
    <definedName name="_85h_F44">'Одоевского~ д.3 к.6 стр.п.11-12'!$D$42</definedName>
    <definedName name="_85h_F45">'Одоевского~ д.3 к.6 стр.п.11-12'!$D$43</definedName>
    <definedName name="_85h_F46">'Одоевского~ д.3 к.6 стр.п.11-12'!$D$44</definedName>
    <definedName name="_85h_F47">'Одоевского~ д.3 к.6 стр.п.11-12'!$D$45</definedName>
    <definedName name="_85h_F48">'Одоевского~ д.3 к.6 стр.п.11-12'!$D$46</definedName>
    <definedName name="_85h_F49">'Одоевского~ д.3 к.6 стр.п.11-12'!$D$47</definedName>
    <definedName name="_85h_F50">'Одоевского~ д.3 к.6 стр.п.11-12'!$D$48</definedName>
    <definedName name="_85h_F51">'Одоевского~ д.3 к.6 стр.п.11-12'!$D$49</definedName>
    <definedName name="_85h_F52">'Одоевского~ д.3 к.6 стр.п.11-12'!#REF!</definedName>
    <definedName name="_85h_F53">'Одоевского~ д.3 к.6 стр.п.11-12'!$D$50</definedName>
    <definedName name="_85h_F54">'Одоевского~ д.3 к.6 стр.п.11-12'!$D$51</definedName>
    <definedName name="_85h_F55">'Одоевского~ д.3 к.6 стр.п.11-12'!$D$52</definedName>
    <definedName name="_85h_F56">'Одоевского~ д.3 к.6 стр.п.11-12'!$D$53</definedName>
    <definedName name="_85h_F57">'Одоевского~ д.3 к.6 стр.п.11-12'!$D$54</definedName>
    <definedName name="_85h_F58">'Одоевского~ д.3 к.6 стр.п.11-12'!$D$55</definedName>
    <definedName name="_85h_F59">'Одоевского~ д.3 к.6 стр.п.11-12'!$D$56</definedName>
    <definedName name="_85h_F60">'Одоевского~ д.3 к.6 стр.п.11-12'!$D$57</definedName>
    <definedName name="_85h_F61">'Одоевского~ д.3 к.6 стр.п.11-12'!$D$58</definedName>
    <definedName name="_85h_F62">'Одоевского~ д.3 к.6 стр.п.11-12'!$D$59</definedName>
    <definedName name="_85h_F63">'Одоевского~ д.3 к.6 стр.п.11-12'!#REF!</definedName>
    <definedName name="_85h_F64">'Одоевского~ д.3 к.6 стр.п.11-12'!$D$60</definedName>
    <definedName name="_85h_F65">'Одоевского~ д.3 к.6 стр.п.11-12'!$D$61</definedName>
    <definedName name="_85h_F7">'Одоевского~ д.3 к.6 стр.п.11-12'!$D$5</definedName>
    <definedName name="_85h_F8">'Одоевского~ д.3 к.6 стр.п.11-12'!$D$6</definedName>
    <definedName name="_85h_F9">'Одоевского~ д.3 к.6 стр.п.11-12'!$D$7</definedName>
    <definedName name="_86h_E10">'Одоевского пр-д д.3 к.7'!$C$8</definedName>
    <definedName name="_86h_E11">'Одоевского пр-д д.3 к.7'!$C$9</definedName>
    <definedName name="_86h_E12">'Одоевского пр-д д.3 к.7'!$C$10</definedName>
    <definedName name="_86h_E13">'Одоевского пр-д д.3 к.7'!$C$11</definedName>
    <definedName name="_86h_E14">'Одоевского пр-д д.3 к.7'!$C$12</definedName>
    <definedName name="_86h_E15">'Одоевского пр-д д.3 к.7'!$C$13</definedName>
    <definedName name="_86h_E16">'Одоевского пр-д д.3 к.7'!$C$14</definedName>
    <definedName name="_86h_E17">'Одоевского пр-д д.3 к.7'!$C$15</definedName>
    <definedName name="_86h_E18">'Одоевского пр-д д.3 к.7'!$C$16</definedName>
    <definedName name="_86h_E19">'Одоевского пр-д д.3 к.7'!$C$17</definedName>
    <definedName name="_86h_E20">'Одоевского пр-д д.3 к.7'!$C$18</definedName>
    <definedName name="_86h_E21">'Одоевского пр-д д.3 к.7'!$C$19</definedName>
    <definedName name="_86h_E22">'Одоевского пр-д д.3 к.7'!$C$20</definedName>
    <definedName name="_86h_E23">'Одоевского пр-д д.3 к.7'!$C$21</definedName>
    <definedName name="_86h_E24">'Одоевского пр-д д.3 к.7'!$C$22</definedName>
    <definedName name="_86h_E25">'Одоевского пр-д д.3 к.7'!$C$23</definedName>
    <definedName name="_86h_E26">'Одоевского пр-д д.3 к.7'!$C$24</definedName>
    <definedName name="_86h_E27">'Одоевского пр-д д.3 к.7'!$C$25</definedName>
    <definedName name="_86h_E28">'Одоевского пр-д д.3 к.7'!$C$26</definedName>
    <definedName name="_86h_E29">'Одоевского пр-д д.3 к.7'!$C$27</definedName>
    <definedName name="_86h_E30">'Одоевского пр-д д.3 к.7'!$C$28</definedName>
    <definedName name="_86h_E31">'Одоевского пр-д д.3 к.7'!$C$29</definedName>
    <definedName name="_86h_E32">'Одоевского пр-д д.3 к.7'!$C$30</definedName>
    <definedName name="_86h_E33">'Одоевского пр-д д.3 к.7'!$C$31</definedName>
    <definedName name="_86h_E34">'Одоевского пр-д д.3 к.7'!$C$32</definedName>
    <definedName name="_86h_E35">'Одоевского пр-д д.3 к.7'!$C$33</definedName>
    <definedName name="_86h_E36">'Одоевского пр-д д.3 к.7'!$C$34</definedName>
    <definedName name="_86h_E37">'Одоевского пр-д д.3 к.7'!$C$35</definedName>
    <definedName name="_86h_E38">'Одоевского пр-д д.3 к.7'!$C$36</definedName>
    <definedName name="_86h_E39">'Одоевского пр-д д.3 к.7'!$C$37</definedName>
    <definedName name="_86h_E40">'Одоевского пр-д д.3 к.7'!$C$38</definedName>
    <definedName name="_86h_E41">'Одоевского пр-д д.3 к.7'!$C$39</definedName>
    <definedName name="_86h_E42">'Одоевского пр-д д.3 к.7'!$C$40</definedName>
    <definedName name="_86h_E43">'Одоевского пр-д д.3 к.7'!$C$41</definedName>
    <definedName name="_86h_E44">'Одоевского пр-д д.3 к.7'!$C$42</definedName>
    <definedName name="_86h_E45">'Одоевского пр-д д.3 к.7'!$C$43</definedName>
    <definedName name="_86h_E46">'Одоевского пр-д д.3 к.7'!$C$44</definedName>
    <definedName name="_86h_E47">'Одоевского пр-д д.3 к.7'!$C$45</definedName>
    <definedName name="_86h_E48">'Одоевского пр-д д.3 к.7'!$C$46</definedName>
    <definedName name="_86h_E49">'Одоевского пр-д д.3 к.7'!$C$47</definedName>
    <definedName name="_86h_E50">'Одоевского пр-д д.3 к.7'!$C$48</definedName>
    <definedName name="_86h_E51">'Одоевского пр-д д.3 к.7'!$C$49</definedName>
    <definedName name="_86h_E52">'Одоевского пр-д д.3 к.7'!#REF!</definedName>
    <definedName name="_86h_E53">'Одоевского пр-д д.3 к.7'!$C$50</definedName>
    <definedName name="_86h_E54">'Одоевского пр-д д.3 к.7'!$C$51</definedName>
    <definedName name="_86h_E55">'Одоевского пр-д д.3 к.7'!$C$52</definedName>
    <definedName name="_86h_E56">'Одоевского пр-д д.3 к.7'!$C$53</definedName>
    <definedName name="_86h_E57">'Одоевского пр-д д.3 к.7'!$C$54</definedName>
    <definedName name="_86h_E58">'Одоевского пр-д д.3 к.7'!$C$55</definedName>
    <definedName name="_86h_E59">'Одоевского пр-д д.3 к.7'!$C$56</definedName>
    <definedName name="_86h_E60">'Одоевского пр-д д.3 к.7'!$C$57</definedName>
    <definedName name="_86h_E61">'Одоевского пр-д д.3 к.7'!$C$58</definedName>
    <definedName name="_86h_E62">'Одоевского пр-д д.3 к.7'!$C$59</definedName>
    <definedName name="_86h_E63">'Одоевского пр-д д.3 к.7'!#REF!</definedName>
    <definedName name="_86h_E64">'Одоевского пр-д д.3 к.7'!$C$60</definedName>
    <definedName name="_86h_E65">'Одоевского пр-д д.3 к.7'!$C$61</definedName>
    <definedName name="_86h_E7">'Одоевского пр-д д.3 к.7'!$C$5</definedName>
    <definedName name="_86h_E8">'Одоевского пр-д д.3 к.7'!$C$6</definedName>
    <definedName name="_86h_E9">'Одоевского пр-д д.3 к.7'!$C$7</definedName>
    <definedName name="_86h_F10">'Одоевского пр-д д.3 к.7'!$D$8</definedName>
    <definedName name="_86h_F11">'Одоевского пр-д д.3 к.7'!$D$9</definedName>
    <definedName name="_86h_F12">'Одоевского пр-д д.3 к.7'!$D$10</definedName>
    <definedName name="_86h_F13">'Одоевского пр-д д.3 к.7'!$D$11</definedName>
    <definedName name="_86h_F14">'Одоевского пр-д д.3 к.7'!$D$12</definedName>
    <definedName name="_86h_F15">'Одоевского пр-д д.3 к.7'!$D$13</definedName>
    <definedName name="_86h_F16">'Одоевского пр-д д.3 к.7'!$D$14</definedName>
    <definedName name="_86h_F17">'Одоевского пр-д д.3 к.7'!$D$15</definedName>
    <definedName name="_86h_F18">'Одоевского пр-д д.3 к.7'!$D$16</definedName>
    <definedName name="_86h_F19">'Одоевского пр-д д.3 к.7'!$D$17</definedName>
    <definedName name="_86h_F20">'Одоевского пр-д д.3 к.7'!$D$18</definedName>
    <definedName name="_86h_F21">'Одоевского пр-д д.3 к.7'!$D$19</definedName>
    <definedName name="_86h_F22">'Одоевского пр-д д.3 к.7'!$D$20</definedName>
    <definedName name="_86h_F23">'Одоевского пр-д д.3 к.7'!$D$21</definedName>
    <definedName name="_86h_F24">'Одоевского пр-д д.3 к.7'!$D$22</definedName>
    <definedName name="_86h_F25">'Одоевского пр-д д.3 к.7'!$D$23</definedName>
    <definedName name="_86h_F26">'Одоевского пр-д д.3 к.7'!$D$24</definedName>
    <definedName name="_86h_F27">'Одоевского пр-д д.3 к.7'!$D$25</definedName>
    <definedName name="_86h_F28">'Одоевского пр-д д.3 к.7'!$D$26</definedName>
    <definedName name="_86h_F29">'Одоевского пр-д д.3 к.7'!$D$27</definedName>
    <definedName name="_86h_F30">'Одоевского пр-д д.3 к.7'!$D$28</definedName>
    <definedName name="_86h_F31">'Одоевского пр-д д.3 к.7'!$D$29</definedName>
    <definedName name="_86h_F32">'Одоевского пр-д д.3 к.7'!$D$30</definedName>
    <definedName name="_86h_F33">'Одоевского пр-д д.3 к.7'!$D$31</definedName>
    <definedName name="_86h_F34">'Одоевского пр-д д.3 к.7'!$D$32</definedName>
    <definedName name="_86h_F35">'Одоевского пр-д д.3 к.7'!$D$33</definedName>
    <definedName name="_86h_F36">'Одоевского пр-д д.3 к.7'!$D$34</definedName>
    <definedName name="_86h_F37">'Одоевского пр-д д.3 к.7'!$D$35</definedName>
    <definedName name="_86h_F38">'Одоевского пр-д д.3 к.7'!$D$36</definedName>
    <definedName name="_86h_F39">'Одоевского пр-д д.3 к.7'!$D$37</definedName>
    <definedName name="_86h_F40">'Одоевского пр-д д.3 к.7'!$D$38</definedName>
    <definedName name="_86h_F41">'Одоевского пр-д д.3 к.7'!$D$39</definedName>
    <definedName name="_86h_F42">'Одоевского пр-д д.3 к.7'!$D$40</definedName>
    <definedName name="_86h_F43">'Одоевского пр-д д.3 к.7'!$D$41</definedName>
    <definedName name="_86h_F44">'Одоевского пр-д д.3 к.7'!$D$42</definedName>
    <definedName name="_86h_F45">'Одоевского пр-д д.3 к.7'!$D$43</definedName>
    <definedName name="_86h_F46">'Одоевского пр-д д.3 к.7'!$D$44</definedName>
    <definedName name="_86h_F47">'Одоевского пр-д д.3 к.7'!$D$45</definedName>
    <definedName name="_86h_F48">'Одоевского пр-д д.3 к.7'!$D$46</definedName>
    <definedName name="_86h_F49">'Одоевского пр-д д.3 к.7'!$D$47</definedName>
    <definedName name="_86h_F50">'Одоевского пр-д д.3 к.7'!$D$48</definedName>
    <definedName name="_86h_F51">'Одоевского пр-д д.3 к.7'!$D$49</definedName>
    <definedName name="_86h_F52">'Одоевского пр-д д.3 к.7'!#REF!</definedName>
    <definedName name="_86h_F53">'Одоевского пр-д д.3 к.7'!$D$50</definedName>
    <definedName name="_86h_F54">'Одоевского пр-д д.3 к.7'!$D$51</definedName>
    <definedName name="_86h_F55">'Одоевского пр-д д.3 к.7'!$D$52</definedName>
    <definedName name="_86h_F56">'Одоевского пр-д д.3 к.7'!$D$53</definedName>
    <definedName name="_86h_F57">'Одоевского пр-д д.3 к.7'!$D$54</definedName>
    <definedName name="_86h_F58">'Одоевского пр-д д.3 к.7'!$D$55</definedName>
    <definedName name="_86h_F59">'Одоевского пр-д д.3 к.7'!$D$56</definedName>
    <definedName name="_86h_F60">'Одоевского пр-д д.3 к.7'!$D$57</definedName>
    <definedName name="_86h_F61">'Одоевского пр-д д.3 к.7'!$D$58</definedName>
    <definedName name="_86h_F62">'Одоевского пр-д д.3 к.7'!$D$59</definedName>
    <definedName name="_86h_F63">'Одоевского пр-д д.3 к.7'!#REF!</definedName>
    <definedName name="_86h_F64">'Одоевского пр-д д.3 к.7'!$D$60</definedName>
    <definedName name="_86h_F65">'Одоевского пр-д д.3 к.7'!$D$61</definedName>
    <definedName name="_86h_F7">'Одоевского пр-д д.3 к.7'!$D$5</definedName>
    <definedName name="_86h_F8">'Одоевского пр-д д.3 к.7'!$D$6</definedName>
    <definedName name="_86h_F9">'Одоевского пр-д д.3 к.7'!$D$7</definedName>
    <definedName name="_87h_E10">'Одоевского п~ д.7 к.1 стр.п.1-2'!$C$8</definedName>
    <definedName name="_87h_E11">'Одоевского п~ д.7 к.1 стр.п.1-2'!$C$9</definedName>
    <definedName name="_87h_E12">'Одоевского п~ д.7 к.1 стр.п.1-2'!$C$10</definedName>
    <definedName name="_87h_E13">'Одоевского п~ д.7 к.1 стр.п.1-2'!$C$11</definedName>
    <definedName name="_87h_E14">'Одоевского п~ д.7 к.1 стр.п.1-2'!$C$12</definedName>
    <definedName name="_87h_E15">'Одоевского п~ д.7 к.1 стр.п.1-2'!$C$13</definedName>
    <definedName name="_87h_E16">'Одоевского п~ д.7 к.1 стр.п.1-2'!$C$14</definedName>
    <definedName name="_87h_E17">'Одоевского п~ д.7 к.1 стр.п.1-2'!$C$15</definedName>
    <definedName name="_87h_E18">'Одоевского п~ д.7 к.1 стр.п.1-2'!$C$16</definedName>
    <definedName name="_87h_E19">'Одоевского п~ д.7 к.1 стр.п.1-2'!$C$17</definedName>
    <definedName name="_87h_E20">'Одоевского п~ д.7 к.1 стр.п.1-2'!$C$18</definedName>
    <definedName name="_87h_E21">'Одоевского п~ д.7 к.1 стр.п.1-2'!$C$19</definedName>
    <definedName name="_87h_E22">'Одоевского п~ д.7 к.1 стр.п.1-2'!$C$20</definedName>
    <definedName name="_87h_E23">'Одоевского п~ д.7 к.1 стр.п.1-2'!$C$21</definedName>
    <definedName name="_87h_E24">'Одоевского п~ д.7 к.1 стр.п.1-2'!$C$22</definedName>
    <definedName name="_87h_E25">'Одоевского п~ д.7 к.1 стр.п.1-2'!$C$23</definedName>
    <definedName name="_87h_E26">'Одоевского п~ д.7 к.1 стр.п.1-2'!$C$24</definedName>
    <definedName name="_87h_E27">'Одоевского п~ д.7 к.1 стр.п.1-2'!$C$25</definedName>
    <definedName name="_87h_E28">'Одоевского п~ д.7 к.1 стр.п.1-2'!$C$26</definedName>
    <definedName name="_87h_E29">'Одоевского п~ д.7 к.1 стр.п.1-2'!$C$27</definedName>
    <definedName name="_87h_E30">'Одоевского п~ д.7 к.1 стр.п.1-2'!$C$28</definedName>
    <definedName name="_87h_E31">'Одоевского п~ д.7 к.1 стр.п.1-2'!$C$29</definedName>
    <definedName name="_87h_E32">'Одоевского п~ д.7 к.1 стр.п.1-2'!$C$30</definedName>
    <definedName name="_87h_E33">'Одоевского п~ д.7 к.1 стр.п.1-2'!$C$31</definedName>
    <definedName name="_87h_E34">'Одоевского п~ д.7 к.1 стр.п.1-2'!$C$32</definedName>
    <definedName name="_87h_E35">'Одоевского п~ д.7 к.1 стр.п.1-2'!$C$33</definedName>
    <definedName name="_87h_E36">'Одоевского п~ д.7 к.1 стр.п.1-2'!$C$34</definedName>
    <definedName name="_87h_E37">'Одоевского п~ д.7 к.1 стр.п.1-2'!$C$35</definedName>
    <definedName name="_87h_E38">'Одоевского п~ д.7 к.1 стр.п.1-2'!$C$36</definedName>
    <definedName name="_87h_E39">'Одоевского п~ д.7 к.1 стр.п.1-2'!$C$37</definedName>
    <definedName name="_87h_E40">'Одоевского п~ д.7 к.1 стр.п.1-2'!$C$38</definedName>
    <definedName name="_87h_E41">'Одоевского п~ д.7 к.1 стр.п.1-2'!$C$39</definedName>
    <definedName name="_87h_E42">'Одоевского п~ д.7 к.1 стр.п.1-2'!$C$40</definedName>
    <definedName name="_87h_E43">'Одоевского п~ д.7 к.1 стр.п.1-2'!$C$41</definedName>
    <definedName name="_87h_E44">'Одоевского п~ д.7 к.1 стр.п.1-2'!$C$42</definedName>
    <definedName name="_87h_E45">'Одоевского п~ д.7 к.1 стр.п.1-2'!$C$43</definedName>
    <definedName name="_87h_E46">'Одоевского п~ д.7 к.1 стр.п.1-2'!$C$44</definedName>
    <definedName name="_87h_E47">'Одоевского п~ д.7 к.1 стр.п.1-2'!$C$45</definedName>
    <definedName name="_87h_E48">'Одоевского п~ д.7 к.1 стр.п.1-2'!$C$46</definedName>
    <definedName name="_87h_E49">'Одоевского п~ д.7 к.1 стр.п.1-2'!$C$47</definedName>
    <definedName name="_87h_E50">'Одоевского п~ д.7 к.1 стр.п.1-2'!$C$48</definedName>
    <definedName name="_87h_E51">'Одоевского п~ д.7 к.1 стр.п.1-2'!$C$49</definedName>
    <definedName name="_87h_E52">'Одоевского п~ д.7 к.1 стр.п.1-2'!#REF!</definedName>
    <definedName name="_87h_E53">'Одоевского п~ д.7 к.1 стр.п.1-2'!$C$50</definedName>
    <definedName name="_87h_E54">'Одоевского п~ д.7 к.1 стр.п.1-2'!$C$51</definedName>
    <definedName name="_87h_E55">'Одоевского п~ д.7 к.1 стр.п.1-2'!$C$52</definedName>
    <definedName name="_87h_E56">'Одоевского п~ д.7 к.1 стр.п.1-2'!$C$53</definedName>
    <definedName name="_87h_E57">'Одоевского п~ д.7 к.1 стр.п.1-2'!$C$54</definedName>
    <definedName name="_87h_E58">'Одоевского п~ д.7 к.1 стр.п.1-2'!$C$55</definedName>
    <definedName name="_87h_E59">'Одоевского п~ д.7 к.1 стр.п.1-2'!$C$56</definedName>
    <definedName name="_87h_E60">'Одоевского п~ д.7 к.1 стр.п.1-2'!$C$57</definedName>
    <definedName name="_87h_E61">'Одоевского п~ д.7 к.1 стр.п.1-2'!$C$58</definedName>
    <definedName name="_87h_E62">'Одоевского п~ д.7 к.1 стр.п.1-2'!$C$59</definedName>
    <definedName name="_87h_E63">'Одоевского п~ д.7 к.1 стр.п.1-2'!#REF!</definedName>
    <definedName name="_87h_E64">'Одоевского п~ д.7 к.1 стр.п.1-2'!$C$60</definedName>
    <definedName name="_87h_E65">'Одоевского п~ д.7 к.1 стр.п.1-2'!$C$61</definedName>
    <definedName name="_87h_E7">'Одоевского п~ д.7 к.1 стр.п.1-2'!$C$5</definedName>
    <definedName name="_87h_E8">'Одоевского п~ д.7 к.1 стр.п.1-2'!$C$6</definedName>
    <definedName name="_87h_E9">'Одоевского п~ д.7 к.1 стр.п.1-2'!$C$7</definedName>
    <definedName name="_87h_F10">'Одоевского п~ д.7 к.1 стр.п.1-2'!$D$8</definedName>
    <definedName name="_87h_F11">'Одоевского п~ д.7 к.1 стр.п.1-2'!$D$9</definedName>
    <definedName name="_87h_F12">'Одоевского п~ д.7 к.1 стр.п.1-2'!$D$10</definedName>
    <definedName name="_87h_F13">'Одоевского п~ д.7 к.1 стр.п.1-2'!$D$11</definedName>
    <definedName name="_87h_F14">'Одоевского п~ д.7 к.1 стр.п.1-2'!$D$12</definedName>
    <definedName name="_87h_F15">'Одоевского п~ д.7 к.1 стр.п.1-2'!$D$13</definedName>
    <definedName name="_87h_F16">'Одоевского п~ д.7 к.1 стр.п.1-2'!$D$14</definedName>
    <definedName name="_87h_F17">'Одоевского п~ д.7 к.1 стр.п.1-2'!$D$15</definedName>
    <definedName name="_87h_F18">'Одоевского п~ д.7 к.1 стр.п.1-2'!$D$16</definedName>
    <definedName name="_87h_F19">'Одоевского п~ д.7 к.1 стр.п.1-2'!$D$17</definedName>
    <definedName name="_87h_F20">'Одоевского п~ д.7 к.1 стр.п.1-2'!$D$18</definedName>
    <definedName name="_87h_F21">'Одоевского п~ д.7 к.1 стр.п.1-2'!$D$19</definedName>
    <definedName name="_87h_F22">'Одоевского п~ д.7 к.1 стр.п.1-2'!$D$20</definedName>
    <definedName name="_87h_F23">'Одоевского п~ д.7 к.1 стр.п.1-2'!$D$21</definedName>
    <definedName name="_87h_F24">'Одоевского п~ д.7 к.1 стр.п.1-2'!$D$22</definedName>
    <definedName name="_87h_F25">'Одоевского п~ д.7 к.1 стр.п.1-2'!$D$23</definedName>
    <definedName name="_87h_F26">'Одоевского п~ д.7 к.1 стр.п.1-2'!$D$24</definedName>
    <definedName name="_87h_F27">'Одоевского п~ д.7 к.1 стр.п.1-2'!$D$25</definedName>
    <definedName name="_87h_F28">'Одоевского п~ д.7 к.1 стр.п.1-2'!$D$26</definedName>
    <definedName name="_87h_F29">'Одоевского п~ д.7 к.1 стр.п.1-2'!$D$27</definedName>
    <definedName name="_87h_F30">'Одоевского п~ д.7 к.1 стр.п.1-2'!$D$28</definedName>
    <definedName name="_87h_F31">'Одоевского п~ д.7 к.1 стр.п.1-2'!$D$29</definedName>
    <definedName name="_87h_F32">'Одоевского п~ д.7 к.1 стр.п.1-2'!$D$30</definedName>
    <definedName name="_87h_F33">'Одоевского п~ д.7 к.1 стр.п.1-2'!$D$31</definedName>
    <definedName name="_87h_F34">'Одоевского п~ д.7 к.1 стр.п.1-2'!$D$32</definedName>
    <definedName name="_87h_F35">'Одоевского п~ д.7 к.1 стр.п.1-2'!$D$33</definedName>
    <definedName name="_87h_F36">'Одоевского п~ д.7 к.1 стр.п.1-2'!$D$34</definedName>
    <definedName name="_87h_F37">'Одоевского п~ д.7 к.1 стр.п.1-2'!$D$35</definedName>
    <definedName name="_87h_F38">'Одоевского п~ д.7 к.1 стр.п.1-2'!$D$36</definedName>
    <definedName name="_87h_F39">'Одоевского п~ д.7 к.1 стр.п.1-2'!$D$37</definedName>
    <definedName name="_87h_F40">'Одоевского п~ д.7 к.1 стр.п.1-2'!$D$38</definedName>
    <definedName name="_87h_F41">'Одоевского п~ д.7 к.1 стр.п.1-2'!$D$39</definedName>
    <definedName name="_87h_F42">'Одоевского п~ д.7 к.1 стр.п.1-2'!$D$40</definedName>
    <definedName name="_87h_F43">'Одоевского п~ д.7 к.1 стр.п.1-2'!$D$41</definedName>
    <definedName name="_87h_F44">'Одоевского п~ д.7 к.1 стр.п.1-2'!$D$42</definedName>
    <definedName name="_87h_F45">'Одоевского п~ д.7 к.1 стр.п.1-2'!$D$43</definedName>
    <definedName name="_87h_F46">'Одоевского п~ д.7 к.1 стр.п.1-2'!$D$44</definedName>
    <definedName name="_87h_F47">'Одоевского п~ д.7 к.1 стр.п.1-2'!$D$45</definedName>
    <definedName name="_87h_F48">'Одоевского п~ д.7 к.1 стр.п.1-2'!$D$46</definedName>
    <definedName name="_87h_F49">'Одоевского п~ д.7 к.1 стр.п.1-2'!$D$47</definedName>
    <definedName name="_87h_F50">'Одоевского п~ д.7 к.1 стр.п.1-2'!$D$48</definedName>
    <definedName name="_87h_F51">'Одоевского п~ д.7 к.1 стр.п.1-2'!$D$49</definedName>
    <definedName name="_87h_F52">'Одоевского п~ д.7 к.1 стр.п.1-2'!#REF!</definedName>
    <definedName name="_87h_F53">'Одоевского п~ д.7 к.1 стр.п.1-2'!$D$50</definedName>
    <definedName name="_87h_F54">'Одоевского п~ д.7 к.1 стр.п.1-2'!$D$51</definedName>
    <definedName name="_87h_F55">'Одоевского п~ д.7 к.1 стр.п.1-2'!$D$52</definedName>
    <definedName name="_87h_F56">'Одоевского п~ д.7 к.1 стр.п.1-2'!$D$53</definedName>
    <definedName name="_87h_F57">'Одоевского п~ д.7 к.1 стр.п.1-2'!$D$54</definedName>
    <definedName name="_87h_F58">'Одоевского п~ д.7 к.1 стр.п.1-2'!$D$55</definedName>
    <definedName name="_87h_F59">'Одоевского п~ д.7 к.1 стр.п.1-2'!$D$56</definedName>
    <definedName name="_87h_F60">'Одоевского п~ д.7 к.1 стр.п.1-2'!$D$57</definedName>
    <definedName name="_87h_F61">'Одоевского п~ д.7 к.1 стр.п.1-2'!$D$58</definedName>
    <definedName name="_87h_F62">'Одоевского п~ д.7 к.1 стр.п.1-2'!$D$59</definedName>
    <definedName name="_87h_F63">'Одоевского п~ д.7 к.1 стр.п.1-2'!#REF!</definedName>
    <definedName name="_87h_F64">'Одоевского п~ д.7 к.1 стр.п.1-2'!$D$60</definedName>
    <definedName name="_87h_F65">'Одоевского п~ д.7 к.1 стр.п.1-2'!$D$61</definedName>
    <definedName name="_87h_F7">'Одоевского п~ д.7 к.1 стр.п.1-2'!$D$5</definedName>
    <definedName name="_87h_F8">'Одоевского п~ д.7 к.1 стр.п.1-2'!$D$6</definedName>
    <definedName name="_87h_F9">'Одоевского п~ д.7 к.1 стр.п.1-2'!$D$7</definedName>
    <definedName name="_88h_E10">'Одоевского п~ д.7 к.2 стр.п.3-4'!$C$8</definedName>
    <definedName name="_88h_E11">'Одоевского п~ д.7 к.2 стр.п.3-4'!$C$9</definedName>
    <definedName name="_88h_E12">'Одоевского п~ д.7 к.2 стр.п.3-4'!$C$10</definedName>
    <definedName name="_88h_E13">'Одоевского п~ д.7 к.2 стр.п.3-4'!$C$11</definedName>
    <definedName name="_88h_E14">'Одоевского п~ д.7 к.2 стр.п.3-4'!$C$12</definedName>
    <definedName name="_88h_E15">'Одоевского п~ д.7 к.2 стр.п.3-4'!$C$13</definedName>
    <definedName name="_88h_E16">'Одоевского п~ д.7 к.2 стр.п.3-4'!$C$14</definedName>
    <definedName name="_88h_E17">'Одоевского п~ д.7 к.2 стр.п.3-4'!$C$15</definedName>
    <definedName name="_88h_E18">'Одоевского п~ д.7 к.2 стр.п.3-4'!$C$16</definedName>
    <definedName name="_88h_E19">'Одоевского п~ д.7 к.2 стр.п.3-4'!$C$17</definedName>
    <definedName name="_88h_E20">'Одоевского п~ д.7 к.2 стр.п.3-4'!$C$18</definedName>
    <definedName name="_88h_E21">'Одоевского п~ д.7 к.2 стр.п.3-4'!$C$19</definedName>
    <definedName name="_88h_E22">'Одоевского п~ д.7 к.2 стр.п.3-4'!$C$20</definedName>
    <definedName name="_88h_E23">'Одоевского п~ д.7 к.2 стр.п.3-4'!$C$21</definedName>
    <definedName name="_88h_E24">'Одоевского п~ д.7 к.2 стр.п.3-4'!$C$22</definedName>
    <definedName name="_88h_E25">'Одоевского п~ д.7 к.2 стр.п.3-4'!$C$23</definedName>
    <definedName name="_88h_E26">'Одоевского п~ д.7 к.2 стр.п.3-4'!$C$24</definedName>
    <definedName name="_88h_E27">'Одоевского п~ д.7 к.2 стр.п.3-4'!$C$25</definedName>
    <definedName name="_88h_E28">'Одоевского п~ д.7 к.2 стр.п.3-4'!$C$26</definedName>
    <definedName name="_88h_E29">'Одоевского п~ д.7 к.2 стр.п.3-4'!$C$27</definedName>
    <definedName name="_88h_E30">'Одоевского п~ д.7 к.2 стр.п.3-4'!$C$28</definedName>
    <definedName name="_88h_E31">'Одоевского п~ д.7 к.2 стр.п.3-4'!$C$29</definedName>
    <definedName name="_88h_E32">'Одоевского п~ д.7 к.2 стр.п.3-4'!$C$30</definedName>
    <definedName name="_88h_E33">'Одоевского п~ д.7 к.2 стр.п.3-4'!$C$31</definedName>
    <definedName name="_88h_E34">'Одоевского п~ д.7 к.2 стр.п.3-4'!$C$32</definedName>
    <definedName name="_88h_E35">'Одоевского п~ д.7 к.2 стр.п.3-4'!$C$33</definedName>
    <definedName name="_88h_E36">'Одоевского п~ д.7 к.2 стр.п.3-4'!$C$34</definedName>
    <definedName name="_88h_E37">'Одоевского п~ д.7 к.2 стр.п.3-4'!$C$35</definedName>
    <definedName name="_88h_E38">'Одоевского п~ д.7 к.2 стр.п.3-4'!$C$36</definedName>
    <definedName name="_88h_E39">'Одоевского п~ д.7 к.2 стр.п.3-4'!$C$37</definedName>
    <definedName name="_88h_E40">'Одоевского п~ д.7 к.2 стр.п.3-4'!$C$38</definedName>
    <definedName name="_88h_E41">'Одоевского п~ д.7 к.2 стр.п.3-4'!$C$39</definedName>
    <definedName name="_88h_E42">'Одоевского п~ д.7 к.2 стр.п.3-4'!$C$40</definedName>
    <definedName name="_88h_E43">'Одоевского п~ д.7 к.2 стр.п.3-4'!$C$41</definedName>
    <definedName name="_88h_E44">'Одоевского п~ д.7 к.2 стр.п.3-4'!$C$42</definedName>
    <definedName name="_88h_E45">'Одоевского п~ д.7 к.2 стр.п.3-4'!$C$43</definedName>
    <definedName name="_88h_E46">'Одоевского п~ д.7 к.2 стр.п.3-4'!$C$44</definedName>
    <definedName name="_88h_E47">'Одоевского п~ д.7 к.2 стр.п.3-4'!$C$45</definedName>
    <definedName name="_88h_E48">'Одоевского п~ д.7 к.2 стр.п.3-4'!$C$46</definedName>
    <definedName name="_88h_E49">'Одоевского п~ д.7 к.2 стр.п.3-4'!$C$47</definedName>
    <definedName name="_88h_E50">'Одоевского п~ д.7 к.2 стр.п.3-4'!$C$48</definedName>
    <definedName name="_88h_E51">'Одоевского п~ д.7 к.2 стр.п.3-4'!$C$49</definedName>
    <definedName name="_88h_E52">'Одоевского п~ д.7 к.2 стр.п.3-4'!#REF!</definedName>
    <definedName name="_88h_E53">'Одоевского п~ д.7 к.2 стр.п.3-4'!$C$50</definedName>
    <definedName name="_88h_E54">'Одоевского п~ д.7 к.2 стр.п.3-4'!$C$51</definedName>
    <definedName name="_88h_E55">'Одоевского п~ д.7 к.2 стр.п.3-4'!$C$52</definedName>
    <definedName name="_88h_E56">'Одоевского п~ д.7 к.2 стр.п.3-4'!$C$53</definedName>
    <definedName name="_88h_E57">'Одоевского п~ д.7 к.2 стр.п.3-4'!$C$54</definedName>
    <definedName name="_88h_E58">'Одоевского п~ д.7 к.2 стр.п.3-4'!$C$55</definedName>
    <definedName name="_88h_E59">'Одоевского п~ д.7 к.2 стр.п.3-4'!$C$56</definedName>
    <definedName name="_88h_E60">'Одоевского п~ д.7 к.2 стр.п.3-4'!$C$57</definedName>
    <definedName name="_88h_E61">'Одоевского п~ д.7 к.2 стр.п.3-4'!$C$58</definedName>
    <definedName name="_88h_E62">'Одоевского п~ д.7 к.2 стр.п.3-4'!$C$59</definedName>
    <definedName name="_88h_E63">'Одоевского п~ д.7 к.2 стр.п.3-4'!#REF!</definedName>
    <definedName name="_88h_E64">'Одоевского п~ д.7 к.2 стр.п.3-4'!$C$60</definedName>
    <definedName name="_88h_E65">'Одоевского п~ д.7 к.2 стр.п.3-4'!$C$61</definedName>
    <definedName name="_88h_E7">'Одоевского п~ д.7 к.2 стр.п.3-4'!$C$5</definedName>
    <definedName name="_88h_E8">'Одоевского п~ д.7 к.2 стр.п.3-4'!$C$6</definedName>
    <definedName name="_88h_E9">'Одоевского п~ д.7 к.2 стр.п.3-4'!$C$7</definedName>
    <definedName name="_88h_F10">'Одоевского п~ д.7 к.2 стр.п.3-4'!$D$8</definedName>
    <definedName name="_88h_F11">'Одоевского п~ д.7 к.2 стр.п.3-4'!$D$9</definedName>
    <definedName name="_88h_F12">'Одоевского п~ д.7 к.2 стр.п.3-4'!$D$10</definedName>
    <definedName name="_88h_F13">'Одоевского п~ д.7 к.2 стр.п.3-4'!$D$11</definedName>
    <definedName name="_88h_F14">'Одоевского п~ д.7 к.2 стр.п.3-4'!$D$12</definedName>
    <definedName name="_88h_F15">'Одоевского п~ д.7 к.2 стр.п.3-4'!$D$13</definedName>
    <definedName name="_88h_F16">'Одоевского п~ д.7 к.2 стр.п.3-4'!$D$14</definedName>
    <definedName name="_88h_F17">'Одоевского п~ д.7 к.2 стр.п.3-4'!$D$15</definedName>
    <definedName name="_88h_F18">'Одоевского п~ д.7 к.2 стр.п.3-4'!$D$16</definedName>
    <definedName name="_88h_F19">'Одоевского п~ д.7 к.2 стр.п.3-4'!$D$17</definedName>
    <definedName name="_88h_F20">'Одоевского п~ д.7 к.2 стр.п.3-4'!$D$18</definedName>
    <definedName name="_88h_F21">'Одоевского п~ д.7 к.2 стр.п.3-4'!$D$19</definedName>
    <definedName name="_88h_F22">'Одоевского п~ д.7 к.2 стр.п.3-4'!$D$20</definedName>
    <definedName name="_88h_F23">'Одоевского п~ д.7 к.2 стр.п.3-4'!$D$21</definedName>
    <definedName name="_88h_F24">'Одоевского п~ д.7 к.2 стр.п.3-4'!$D$22</definedName>
    <definedName name="_88h_F25">'Одоевского п~ д.7 к.2 стр.п.3-4'!$D$23</definedName>
    <definedName name="_88h_F26">'Одоевского п~ д.7 к.2 стр.п.3-4'!$D$24</definedName>
    <definedName name="_88h_F27">'Одоевского п~ д.7 к.2 стр.п.3-4'!$D$25</definedName>
    <definedName name="_88h_F28">'Одоевского п~ д.7 к.2 стр.п.3-4'!$D$26</definedName>
    <definedName name="_88h_F29">'Одоевского п~ д.7 к.2 стр.п.3-4'!$D$27</definedName>
    <definedName name="_88h_F30">'Одоевского п~ д.7 к.2 стр.п.3-4'!$D$28</definedName>
    <definedName name="_88h_F31">'Одоевского п~ д.7 к.2 стр.п.3-4'!$D$29</definedName>
    <definedName name="_88h_F32">'Одоевского п~ д.7 к.2 стр.п.3-4'!$D$30</definedName>
    <definedName name="_88h_F33">'Одоевского п~ д.7 к.2 стр.п.3-4'!$D$31</definedName>
    <definedName name="_88h_F34">'Одоевского п~ д.7 к.2 стр.п.3-4'!$D$32</definedName>
    <definedName name="_88h_F35">'Одоевского п~ д.7 к.2 стр.п.3-4'!$D$33</definedName>
    <definedName name="_88h_F36">'Одоевского п~ д.7 к.2 стр.п.3-4'!$D$34</definedName>
    <definedName name="_88h_F37">'Одоевского п~ д.7 к.2 стр.п.3-4'!$D$35</definedName>
    <definedName name="_88h_F38">'Одоевского п~ д.7 к.2 стр.п.3-4'!$D$36</definedName>
    <definedName name="_88h_F39">'Одоевского п~ д.7 к.2 стр.п.3-4'!$D$37</definedName>
    <definedName name="_88h_F40">'Одоевского п~ д.7 к.2 стр.п.3-4'!$D$38</definedName>
    <definedName name="_88h_F41">'Одоевского п~ д.7 к.2 стр.п.3-4'!$D$39</definedName>
    <definedName name="_88h_F42">'Одоевского п~ д.7 к.2 стр.п.3-4'!$D$40</definedName>
    <definedName name="_88h_F43">'Одоевского п~ д.7 к.2 стр.п.3-4'!$D$41</definedName>
    <definedName name="_88h_F44">'Одоевского п~ д.7 к.2 стр.п.3-4'!$D$42</definedName>
    <definedName name="_88h_F45">'Одоевского п~ д.7 к.2 стр.п.3-4'!$D$43</definedName>
    <definedName name="_88h_F46">'Одоевского п~ д.7 к.2 стр.п.3-4'!$D$44</definedName>
    <definedName name="_88h_F47">'Одоевского п~ д.7 к.2 стр.п.3-4'!$D$45</definedName>
    <definedName name="_88h_F48">'Одоевского п~ д.7 к.2 стр.п.3-4'!$D$46</definedName>
    <definedName name="_88h_F49">'Одоевского п~ д.7 к.2 стр.п.3-4'!$D$47</definedName>
    <definedName name="_88h_F50">'Одоевского п~ д.7 к.2 стр.п.3-4'!$D$48</definedName>
    <definedName name="_88h_F51">'Одоевского п~ д.7 к.2 стр.п.3-4'!$D$49</definedName>
    <definedName name="_88h_F52">'Одоевского п~ д.7 к.2 стр.п.3-4'!#REF!</definedName>
    <definedName name="_88h_F53">'Одоевского п~ д.7 к.2 стр.п.3-4'!$D$50</definedName>
    <definedName name="_88h_F54">'Одоевского п~ д.7 к.2 стр.п.3-4'!$D$51</definedName>
    <definedName name="_88h_F55">'Одоевского п~ д.7 к.2 стр.п.3-4'!$D$52</definedName>
    <definedName name="_88h_F56">'Одоевского п~ д.7 к.2 стр.п.3-4'!$D$53</definedName>
    <definedName name="_88h_F57">'Одоевского п~ д.7 к.2 стр.п.3-4'!$D$54</definedName>
    <definedName name="_88h_F58">'Одоевского п~ д.7 к.2 стр.п.3-4'!$D$55</definedName>
    <definedName name="_88h_F59">'Одоевского п~ д.7 к.2 стр.п.3-4'!$D$56</definedName>
    <definedName name="_88h_F60">'Одоевского п~ д.7 к.2 стр.п.3-4'!$D$57</definedName>
    <definedName name="_88h_F61">'Одоевского п~ д.7 к.2 стр.п.3-4'!$D$58</definedName>
    <definedName name="_88h_F62">'Одоевского п~ д.7 к.2 стр.п.3-4'!$D$59</definedName>
    <definedName name="_88h_F63">'Одоевского п~ д.7 к.2 стр.п.3-4'!#REF!</definedName>
    <definedName name="_88h_F64">'Одоевского п~ д.7 к.2 стр.п.3-4'!$D$60</definedName>
    <definedName name="_88h_F65">'Одоевского п~ д.7 к.2 стр.п.3-4'!$D$61</definedName>
    <definedName name="_88h_F7">'Одоевского п~ д.7 к.2 стр.п.3-4'!$D$5</definedName>
    <definedName name="_88h_F8">'Одоевского п~ д.7 к.2 стр.п.3-4'!$D$6</definedName>
    <definedName name="_88h_F9">'Одоевского п~ д.7 к.2 стр.п.3-4'!$D$7</definedName>
    <definedName name="_89h_E10">'Одоевского п~ д.7 к.3 стр.п.5-6'!$C$8</definedName>
    <definedName name="_89h_E11">'Одоевского п~ д.7 к.3 стр.п.5-6'!$C$9</definedName>
    <definedName name="_89h_E12">'Одоевского п~ д.7 к.3 стр.п.5-6'!$C$10</definedName>
    <definedName name="_89h_E13">'Одоевского п~ д.7 к.3 стр.п.5-6'!$C$11</definedName>
    <definedName name="_89h_E14">'Одоевского п~ д.7 к.3 стр.п.5-6'!$C$12</definedName>
    <definedName name="_89h_E15">'Одоевского п~ д.7 к.3 стр.п.5-6'!$C$13</definedName>
    <definedName name="_89h_E16">'Одоевского п~ д.7 к.3 стр.п.5-6'!$C$14</definedName>
    <definedName name="_89h_E17">'Одоевского п~ д.7 к.3 стр.п.5-6'!$C$15</definedName>
    <definedName name="_89h_E18">'Одоевского п~ д.7 к.3 стр.п.5-6'!$C$16</definedName>
    <definedName name="_89h_E19">'Одоевского п~ д.7 к.3 стр.п.5-6'!$C$17</definedName>
    <definedName name="_89h_E20">'Одоевского п~ д.7 к.3 стр.п.5-6'!$C$18</definedName>
    <definedName name="_89h_E21">'Одоевского п~ д.7 к.3 стр.п.5-6'!$C$19</definedName>
    <definedName name="_89h_E22">'Одоевского п~ д.7 к.3 стр.п.5-6'!$C$20</definedName>
    <definedName name="_89h_E23">'Одоевского п~ д.7 к.3 стр.п.5-6'!$C$21</definedName>
    <definedName name="_89h_E24">'Одоевского п~ д.7 к.3 стр.п.5-6'!$C$22</definedName>
    <definedName name="_89h_E25">'Одоевского п~ д.7 к.3 стр.п.5-6'!$C$23</definedName>
    <definedName name="_89h_E26">'Одоевского п~ д.7 к.3 стр.п.5-6'!$C$24</definedName>
    <definedName name="_89h_E27">'Одоевского п~ д.7 к.3 стр.п.5-6'!$C$25</definedName>
    <definedName name="_89h_E28">'Одоевского п~ д.7 к.3 стр.п.5-6'!$C$26</definedName>
    <definedName name="_89h_E29">'Одоевского п~ д.7 к.3 стр.п.5-6'!$C$27</definedName>
    <definedName name="_89h_E30">'Одоевского п~ д.7 к.3 стр.п.5-6'!$C$28</definedName>
    <definedName name="_89h_E31">'Одоевского п~ д.7 к.3 стр.п.5-6'!$C$29</definedName>
    <definedName name="_89h_E32">'Одоевского п~ д.7 к.3 стр.п.5-6'!$C$30</definedName>
    <definedName name="_89h_E33">'Одоевского п~ д.7 к.3 стр.п.5-6'!$C$31</definedName>
    <definedName name="_89h_E34">'Одоевского п~ д.7 к.3 стр.п.5-6'!$C$32</definedName>
    <definedName name="_89h_E35">'Одоевского п~ д.7 к.3 стр.п.5-6'!$C$33</definedName>
    <definedName name="_89h_E36">'Одоевского п~ д.7 к.3 стр.п.5-6'!$C$34</definedName>
    <definedName name="_89h_E37">'Одоевского п~ д.7 к.3 стр.п.5-6'!$C$35</definedName>
    <definedName name="_89h_E38">'Одоевского п~ д.7 к.3 стр.п.5-6'!$C$36</definedName>
    <definedName name="_89h_E39">'Одоевского п~ д.7 к.3 стр.п.5-6'!$C$37</definedName>
    <definedName name="_89h_E40">'Одоевского п~ д.7 к.3 стр.п.5-6'!$C$38</definedName>
    <definedName name="_89h_E41">'Одоевского п~ д.7 к.3 стр.п.5-6'!$C$39</definedName>
    <definedName name="_89h_E42">'Одоевского п~ д.7 к.3 стр.п.5-6'!$C$40</definedName>
    <definedName name="_89h_E43">'Одоевского п~ д.7 к.3 стр.п.5-6'!$C$41</definedName>
    <definedName name="_89h_E44">'Одоевского п~ д.7 к.3 стр.п.5-6'!$C$42</definedName>
    <definedName name="_89h_E45">'Одоевского п~ д.7 к.3 стр.п.5-6'!$C$43</definedName>
    <definedName name="_89h_E46">'Одоевского п~ д.7 к.3 стр.п.5-6'!$C$44</definedName>
    <definedName name="_89h_E47">'Одоевского п~ д.7 к.3 стр.п.5-6'!$C$45</definedName>
    <definedName name="_89h_E48">'Одоевского п~ д.7 к.3 стр.п.5-6'!$C$46</definedName>
    <definedName name="_89h_E49">'Одоевского п~ д.7 к.3 стр.п.5-6'!$C$47</definedName>
    <definedName name="_89h_E50">'Одоевского п~ д.7 к.3 стр.п.5-6'!$C$48</definedName>
    <definedName name="_89h_E51">'Одоевского п~ д.7 к.3 стр.п.5-6'!$C$49</definedName>
    <definedName name="_89h_E52">'Одоевского п~ д.7 к.3 стр.п.5-6'!#REF!</definedName>
    <definedName name="_89h_E53">'Одоевского п~ д.7 к.3 стр.п.5-6'!$C$50</definedName>
    <definedName name="_89h_E54">'Одоевского п~ д.7 к.3 стр.п.5-6'!$C$51</definedName>
    <definedName name="_89h_E55">'Одоевского п~ д.7 к.3 стр.п.5-6'!$C$52</definedName>
    <definedName name="_89h_E56">'Одоевского п~ д.7 к.3 стр.п.5-6'!$C$53</definedName>
    <definedName name="_89h_E57">'Одоевского п~ д.7 к.3 стр.п.5-6'!$C$54</definedName>
    <definedName name="_89h_E58">'Одоевского п~ д.7 к.3 стр.п.5-6'!$C$55</definedName>
    <definedName name="_89h_E59">'Одоевского п~ д.7 к.3 стр.п.5-6'!$C$56</definedName>
    <definedName name="_89h_E60">'Одоевского п~ д.7 к.3 стр.п.5-6'!$C$57</definedName>
    <definedName name="_89h_E61">'Одоевского п~ д.7 к.3 стр.п.5-6'!$C$58</definedName>
    <definedName name="_89h_E62">'Одоевского п~ д.7 к.3 стр.п.5-6'!$C$59</definedName>
    <definedName name="_89h_E63">'Одоевского п~ д.7 к.3 стр.п.5-6'!#REF!</definedName>
    <definedName name="_89h_E64">'Одоевского п~ д.7 к.3 стр.п.5-6'!$C$60</definedName>
    <definedName name="_89h_E65">'Одоевского п~ д.7 к.3 стр.п.5-6'!$C$61</definedName>
    <definedName name="_89h_E7">'Одоевского п~ д.7 к.3 стр.п.5-6'!$C$5</definedName>
    <definedName name="_89h_E8">'Одоевского п~ д.7 к.3 стр.п.5-6'!$C$6</definedName>
    <definedName name="_89h_E9">'Одоевского п~ д.7 к.3 стр.п.5-6'!$C$7</definedName>
    <definedName name="_89h_F10">'Одоевского п~ д.7 к.3 стр.п.5-6'!$D$8</definedName>
    <definedName name="_89h_F11">'Одоевского п~ д.7 к.3 стр.п.5-6'!$D$9</definedName>
    <definedName name="_89h_F12">'Одоевского п~ д.7 к.3 стр.п.5-6'!$D$10</definedName>
    <definedName name="_89h_F13">'Одоевского п~ д.7 к.3 стр.п.5-6'!$D$11</definedName>
    <definedName name="_89h_F14">'Одоевского п~ д.7 к.3 стр.п.5-6'!$D$12</definedName>
    <definedName name="_89h_F15">'Одоевского п~ д.7 к.3 стр.п.5-6'!$D$13</definedName>
    <definedName name="_89h_F16">'Одоевского п~ д.7 к.3 стр.п.5-6'!$D$14</definedName>
    <definedName name="_89h_F17">'Одоевского п~ д.7 к.3 стр.п.5-6'!$D$15</definedName>
    <definedName name="_89h_F18">'Одоевского п~ д.7 к.3 стр.п.5-6'!$D$16</definedName>
    <definedName name="_89h_F19">'Одоевского п~ д.7 к.3 стр.п.5-6'!$D$17</definedName>
    <definedName name="_89h_F20">'Одоевского п~ д.7 к.3 стр.п.5-6'!$D$18</definedName>
    <definedName name="_89h_F21">'Одоевского п~ д.7 к.3 стр.п.5-6'!$D$19</definedName>
    <definedName name="_89h_F22">'Одоевского п~ д.7 к.3 стр.п.5-6'!$D$20</definedName>
    <definedName name="_89h_F23">'Одоевского п~ д.7 к.3 стр.п.5-6'!$D$21</definedName>
    <definedName name="_89h_F24">'Одоевского п~ д.7 к.3 стр.п.5-6'!$D$22</definedName>
    <definedName name="_89h_F25">'Одоевского п~ д.7 к.3 стр.п.5-6'!$D$23</definedName>
    <definedName name="_89h_F26">'Одоевского п~ д.7 к.3 стр.п.5-6'!$D$24</definedName>
    <definedName name="_89h_F27">'Одоевского п~ д.7 к.3 стр.п.5-6'!$D$25</definedName>
    <definedName name="_89h_F28">'Одоевского п~ д.7 к.3 стр.п.5-6'!$D$26</definedName>
    <definedName name="_89h_F29">'Одоевского п~ д.7 к.3 стр.п.5-6'!$D$27</definedName>
    <definedName name="_89h_F30">'Одоевского п~ д.7 к.3 стр.п.5-6'!$D$28</definedName>
    <definedName name="_89h_F31">'Одоевского п~ д.7 к.3 стр.п.5-6'!$D$29</definedName>
    <definedName name="_89h_F32">'Одоевского п~ д.7 к.3 стр.п.5-6'!$D$30</definedName>
    <definedName name="_89h_F33">'Одоевского п~ д.7 к.3 стр.п.5-6'!$D$31</definedName>
    <definedName name="_89h_F34">'Одоевского п~ д.7 к.3 стр.п.5-6'!$D$32</definedName>
    <definedName name="_89h_F35">'Одоевского п~ д.7 к.3 стр.п.5-6'!$D$33</definedName>
    <definedName name="_89h_F36">'Одоевского п~ д.7 к.3 стр.п.5-6'!$D$34</definedName>
    <definedName name="_89h_F37">'Одоевского п~ д.7 к.3 стр.п.5-6'!$D$35</definedName>
    <definedName name="_89h_F38">'Одоевского п~ д.7 к.3 стр.п.5-6'!$D$36</definedName>
    <definedName name="_89h_F39">'Одоевского п~ д.7 к.3 стр.п.5-6'!$D$37</definedName>
    <definedName name="_89h_F40">'Одоевского п~ д.7 к.3 стр.п.5-6'!$D$38</definedName>
    <definedName name="_89h_F41">'Одоевского п~ д.7 к.3 стр.п.5-6'!$D$39</definedName>
    <definedName name="_89h_F42">'Одоевского п~ д.7 к.3 стр.п.5-6'!$D$40</definedName>
    <definedName name="_89h_F43">'Одоевского п~ д.7 к.3 стр.п.5-6'!$D$41</definedName>
    <definedName name="_89h_F44">'Одоевского п~ д.7 к.3 стр.п.5-6'!$D$42</definedName>
    <definedName name="_89h_F45">'Одоевского п~ д.7 к.3 стр.п.5-6'!$D$43</definedName>
    <definedName name="_89h_F46">'Одоевского п~ д.7 к.3 стр.п.5-6'!$D$44</definedName>
    <definedName name="_89h_F47">'Одоевского п~ д.7 к.3 стр.п.5-6'!$D$45</definedName>
    <definedName name="_89h_F48">'Одоевского п~ д.7 к.3 стр.п.5-6'!$D$46</definedName>
    <definedName name="_89h_F49">'Одоевского п~ д.7 к.3 стр.п.5-6'!$D$47</definedName>
    <definedName name="_89h_F50">'Одоевского п~ д.7 к.3 стр.п.5-6'!$D$48</definedName>
    <definedName name="_89h_F51">'Одоевского п~ д.7 к.3 стр.п.5-6'!$D$49</definedName>
    <definedName name="_89h_F52">'Одоевского п~ д.7 к.3 стр.п.5-6'!#REF!</definedName>
    <definedName name="_89h_F53">'Одоевского п~ д.7 к.3 стр.п.5-6'!$D$50</definedName>
    <definedName name="_89h_F54">'Одоевского п~ д.7 к.3 стр.п.5-6'!$D$51</definedName>
    <definedName name="_89h_F55">'Одоевского п~ д.7 к.3 стр.п.5-6'!$D$52</definedName>
    <definedName name="_89h_F56">'Одоевского п~ д.7 к.3 стр.п.5-6'!$D$53</definedName>
    <definedName name="_89h_F57">'Одоевского п~ д.7 к.3 стр.п.5-6'!$D$54</definedName>
    <definedName name="_89h_F58">'Одоевского п~ д.7 к.3 стр.п.5-6'!$D$55</definedName>
    <definedName name="_89h_F59">'Одоевского п~ д.7 к.3 стр.п.5-6'!$D$56</definedName>
    <definedName name="_89h_F60">'Одоевского п~ д.7 к.3 стр.п.5-6'!$D$57</definedName>
    <definedName name="_89h_F61">'Одоевского п~ д.7 к.3 стр.п.5-6'!$D$58</definedName>
    <definedName name="_89h_F62">'Одоевского п~ д.7 к.3 стр.п.5-6'!$D$59</definedName>
    <definedName name="_89h_F63">'Одоевского п~ д.7 к.3 стр.п.5-6'!#REF!</definedName>
    <definedName name="_89h_F64">'Одоевского п~ д.7 к.3 стр.п.5-6'!$D$60</definedName>
    <definedName name="_89h_F65">'Одоевского п~ д.7 к.3 стр.п.5-6'!$D$61</definedName>
    <definedName name="_89h_F7">'Одоевского п~ д.7 к.3 стр.п.5-6'!$D$5</definedName>
    <definedName name="_89h_F8">'Одоевского п~ д.7 к.3 стр.п.5-6'!$D$6</definedName>
    <definedName name="_89h_F9">'Одоевского п~ д.7 к.3 стр.п.5-6'!$D$7</definedName>
    <definedName name="_8h_E10">'Вильнюсская д.7 к.2'!$C$8</definedName>
    <definedName name="_8h_E11">'Вильнюсская д.7 к.2'!$C$9</definedName>
    <definedName name="_8h_E12">'Вильнюсская д.7 к.2'!$C$10</definedName>
    <definedName name="_8h_E13">'Вильнюсская д.7 к.2'!$C$11</definedName>
    <definedName name="_8h_E14">'Вильнюсская д.7 к.2'!$C$12</definedName>
    <definedName name="_8h_E15">'Вильнюсская д.7 к.2'!$C$13</definedName>
    <definedName name="_8h_E16">'Вильнюсская д.7 к.2'!$C$14</definedName>
    <definedName name="_8h_E17">'Вильнюсская д.7 к.2'!$C$15</definedName>
    <definedName name="_8h_E18">'Вильнюсская д.7 к.2'!$C$16</definedName>
    <definedName name="_8h_E19">'Вильнюсская д.7 к.2'!$C$17</definedName>
    <definedName name="_8h_E20">'Вильнюсская д.7 к.2'!$C$18</definedName>
    <definedName name="_8h_E21">'Вильнюсская д.7 к.2'!$C$19</definedName>
    <definedName name="_8h_E22">'Вильнюсская д.7 к.2'!$C$20</definedName>
    <definedName name="_8h_E23">'Вильнюсская д.7 к.2'!$C$21</definedName>
    <definedName name="_8h_E24">'Вильнюсская д.7 к.2'!$C$22</definedName>
    <definedName name="_8h_E25">'Вильнюсская д.7 к.2'!$C$23</definedName>
    <definedName name="_8h_E26">'Вильнюсская д.7 к.2'!$C$24</definedName>
    <definedName name="_8h_E27">'Вильнюсская д.7 к.2'!$C$25</definedName>
    <definedName name="_8h_E28">'Вильнюсская д.7 к.2'!$C$26</definedName>
    <definedName name="_8h_E29">'Вильнюсская д.7 к.2'!$C$27</definedName>
    <definedName name="_8h_E30">'Вильнюсская д.7 к.2'!$C$28</definedName>
    <definedName name="_8h_E31">'Вильнюсская д.7 к.2'!$C$29</definedName>
    <definedName name="_8h_E32">'Вильнюсская д.7 к.2'!$C$30</definedName>
    <definedName name="_8h_E33">'Вильнюсская д.7 к.2'!$C$31</definedName>
    <definedName name="_8h_E34">'Вильнюсская д.7 к.2'!$C$32</definedName>
    <definedName name="_8h_E35">'Вильнюсская д.7 к.2'!$C$33</definedName>
    <definedName name="_8h_E36">'Вильнюсская д.7 к.2'!$C$34</definedName>
    <definedName name="_8h_E37">'Вильнюсская д.7 к.2'!$C$35</definedName>
    <definedName name="_8h_E38">'Вильнюсская д.7 к.2'!$C$36</definedName>
    <definedName name="_8h_E39">'Вильнюсская д.7 к.2'!$C$37</definedName>
    <definedName name="_8h_E40">'Вильнюсская д.7 к.2'!$C$38</definedName>
    <definedName name="_8h_E41">'Вильнюсская д.7 к.2'!$C$39</definedName>
    <definedName name="_8h_E42">'Вильнюсская д.7 к.2'!$C$40</definedName>
    <definedName name="_8h_E43">'Вильнюсская д.7 к.2'!$C$41</definedName>
    <definedName name="_8h_E44">'Вильнюсская д.7 к.2'!$C$42</definedName>
    <definedName name="_8h_E45">'Вильнюсская д.7 к.2'!$C$43</definedName>
    <definedName name="_8h_E46">'Вильнюсская д.7 к.2'!$C$44</definedName>
    <definedName name="_8h_E47">'Вильнюсская д.7 к.2'!$C$45</definedName>
    <definedName name="_8h_E48">'Вильнюсская д.7 к.2'!$C$46</definedName>
    <definedName name="_8h_E49">'Вильнюсская д.7 к.2'!$C$47</definedName>
    <definedName name="_8h_E50">'Вильнюсская д.7 к.2'!$C$48</definedName>
    <definedName name="_8h_E51">'Вильнюсская д.7 к.2'!$C$49</definedName>
    <definedName name="_8h_E52">'Вильнюсская д.7 к.2'!#REF!</definedName>
    <definedName name="_8h_E53">'Вильнюсская д.7 к.2'!$C$50</definedName>
    <definedName name="_8h_E54">'Вильнюсская д.7 к.2'!$C$51</definedName>
    <definedName name="_8h_E55">'Вильнюсская д.7 к.2'!$C$52</definedName>
    <definedName name="_8h_E56">'Вильнюсская д.7 к.2'!$C$53</definedName>
    <definedName name="_8h_E57">'Вильнюсская д.7 к.2'!$C$54</definedName>
    <definedName name="_8h_E58">'Вильнюсская д.7 к.2'!$C$55</definedName>
    <definedName name="_8h_E59">'Вильнюсская д.7 к.2'!$C$56</definedName>
    <definedName name="_8h_E60">'Вильнюсская д.7 к.2'!$C$57</definedName>
    <definedName name="_8h_E61">'Вильнюсская д.7 к.2'!$C$58</definedName>
    <definedName name="_8h_E62">'Вильнюсская д.7 к.2'!$C$59</definedName>
    <definedName name="_8h_E63">'Вильнюсская д.7 к.2'!#REF!</definedName>
    <definedName name="_8h_E64">'Вильнюсская д.7 к.2'!$C$60</definedName>
    <definedName name="_8h_E65">'Вильнюсская д.7 к.2'!$C$61</definedName>
    <definedName name="_8h_E7">'Вильнюсская д.7 к.2'!$C$5</definedName>
    <definedName name="_8h_E8">'Вильнюсская д.7 к.2'!$C$6</definedName>
    <definedName name="_8h_E9">'Вильнюсская д.7 к.2'!$C$7</definedName>
    <definedName name="_8h_F10">'Вильнюсская д.7 к.2'!$D$8</definedName>
    <definedName name="_8h_F11">'Вильнюсская д.7 к.2'!$D$9</definedName>
    <definedName name="_8h_F12">'Вильнюсская д.7 к.2'!$D$10</definedName>
    <definedName name="_8h_F13">'Вильнюсская д.7 к.2'!$D$11</definedName>
    <definedName name="_8h_F14">'Вильнюсская д.7 к.2'!$D$12</definedName>
    <definedName name="_8h_F15">'Вильнюсская д.7 к.2'!$D$13</definedName>
    <definedName name="_8h_F16">'Вильнюсская д.7 к.2'!$D$14</definedName>
    <definedName name="_8h_F17">'Вильнюсская д.7 к.2'!$D$15</definedName>
    <definedName name="_8h_F18">'Вильнюсская д.7 к.2'!$D$16</definedName>
    <definedName name="_8h_F19">'Вильнюсская д.7 к.2'!$D$17</definedName>
    <definedName name="_8h_F20">'Вильнюсская д.7 к.2'!$D$18</definedName>
    <definedName name="_8h_F21">'Вильнюсская д.7 к.2'!$D$19</definedName>
    <definedName name="_8h_F22">'Вильнюсская д.7 к.2'!$D$20</definedName>
    <definedName name="_8h_F23">'Вильнюсская д.7 к.2'!$D$21</definedName>
    <definedName name="_8h_F24">'Вильнюсская д.7 к.2'!$D$22</definedName>
    <definedName name="_8h_F25">'Вильнюсская д.7 к.2'!$D$23</definedName>
    <definedName name="_8h_F26">'Вильнюсская д.7 к.2'!$D$24</definedName>
    <definedName name="_8h_F27">'Вильнюсская д.7 к.2'!$D$25</definedName>
    <definedName name="_8h_F28">'Вильнюсская д.7 к.2'!$D$26</definedName>
    <definedName name="_8h_F29">'Вильнюсская д.7 к.2'!$D$27</definedName>
    <definedName name="_8h_F30">'Вильнюсская д.7 к.2'!$D$28</definedName>
    <definedName name="_8h_F31">'Вильнюсская д.7 к.2'!$D$29</definedName>
    <definedName name="_8h_F32">'Вильнюсская д.7 к.2'!$D$30</definedName>
    <definedName name="_8h_F33">'Вильнюсская д.7 к.2'!$D$31</definedName>
    <definedName name="_8h_F34">'Вильнюсская д.7 к.2'!$D$32</definedName>
    <definedName name="_8h_F35">'Вильнюсская д.7 к.2'!$D$33</definedName>
    <definedName name="_8h_F36">'Вильнюсская д.7 к.2'!$D$34</definedName>
    <definedName name="_8h_F37">'Вильнюсская д.7 к.2'!$D$35</definedName>
    <definedName name="_8h_F38">'Вильнюсская д.7 к.2'!$D$36</definedName>
    <definedName name="_8h_F39">'Вильнюсская д.7 к.2'!$D$37</definedName>
    <definedName name="_8h_F40">'Вильнюсская д.7 к.2'!$D$38</definedName>
    <definedName name="_8h_F41">'Вильнюсская д.7 к.2'!$D$39</definedName>
    <definedName name="_8h_F42">'Вильнюсская д.7 к.2'!$D$40</definedName>
    <definedName name="_8h_F43">'Вильнюсская д.7 к.2'!$D$41</definedName>
    <definedName name="_8h_F44">'Вильнюсская д.7 к.2'!$D$42</definedName>
    <definedName name="_8h_F45">'Вильнюсская д.7 к.2'!$D$43</definedName>
    <definedName name="_8h_F46">'Вильнюсская д.7 к.2'!$D$44</definedName>
    <definedName name="_8h_F47">'Вильнюсская д.7 к.2'!$D$45</definedName>
    <definedName name="_8h_F48">'Вильнюсская д.7 к.2'!$D$46</definedName>
    <definedName name="_8h_F49">'Вильнюсская д.7 к.2'!$D$47</definedName>
    <definedName name="_8h_F50">'Вильнюсская д.7 к.2'!$D$48</definedName>
    <definedName name="_8h_F51">'Вильнюсская д.7 к.2'!$D$49</definedName>
    <definedName name="_8h_F52">'Вильнюсская д.7 к.2'!#REF!</definedName>
    <definedName name="_8h_F53">'Вильнюсская д.7 к.2'!$D$50</definedName>
    <definedName name="_8h_F54">'Вильнюсская д.7 к.2'!$D$51</definedName>
    <definedName name="_8h_F55">'Вильнюсская д.7 к.2'!$D$52</definedName>
    <definedName name="_8h_F56">'Вильнюсская д.7 к.2'!$D$53</definedName>
    <definedName name="_8h_F57">'Вильнюсская д.7 к.2'!$D$54</definedName>
    <definedName name="_8h_F58">'Вильнюсская д.7 к.2'!$D$55</definedName>
    <definedName name="_8h_F59">'Вильнюсская д.7 к.2'!$D$56</definedName>
    <definedName name="_8h_F60">'Вильнюсская д.7 к.2'!$D$57</definedName>
    <definedName name="_8h_F61">'Вильнюсская д.7 к.2'!$D$58</definedName>
    <definedName name="_8h_F62">'Вильнюсская д.7 к.2'!$D$59</definedName>
    <definedName name="_8h_F63">'Вильнюсская д.7 к.2'!#REF!</definedName>
    <definedName name="_8h_F64">'Вильнюсская д.7 к.2'!$D$60</definedName>
    <definedName name="_8h_F65">'Вильнюсская д.7 к.2'!$D$61</definedName>
    <definedName name="_8h_F7">'Вильнюсская д.7 к.2'!$D$5</definedName>
    <definedName name="_8h_F8">'Вильнюсская д.7 к.2'!$D$6</definedName>
    <definedName name="_8h_F9">'Вильнюсская д.7 к.2'!$D$7</definedName>
    <definedName name="_90h_E10">'Одоевского п~ д.7 к.4 стр.п.7-8'!$C$8</definedName>
    <definedName name="_90h_E11">'Одоевского п~ д.7 к.4 стр.п.7-8'!$C$9</definedName>
    <definedName name="_90h_E12">'Одоевского п~ д.7 к.4 стр.п.7-8'!$C$10</definedName>
    <definedName name="_90h_E13">'Одоевского п~ д.7 к.4 стр.п.7-8'!$C$11</definedName>
    <definedName name="_90h_E14">'Одоевского п~ д.7 к.4 стр.п.7-8'!$C$12</definedName>
    <definedName name="_90h_E15">'Одоевского п~ д.7 к.4 стр.п.7-8'!$C$13</definedName>
    <definedName name="_90h_E16">'Одоевского п~ д.7 к.4 стр.п.7-8'!$C$14</definedName>
    <definedName name="_90h_E17">'Одоевского п~ д.7 к.4 стр.п.7-8'!$C$15</definedName>
    <definedName name="_90h_E18">'Одоевского п~ д.7 к.4 стр.п.7-8'!$C$16</definedName>
    <definedName name="_90h_E19">'Одоевского п~ д.7 к.4 стр.п.7-8'!$C$17</definedName>
    <definedName name="_90h_E20">'Одоевского п~ д.7 к.4 стр.п.7-8'!$C$18</definedName>
    <definedName name="_90h_E21">'Одоевского п~ д.7 к.4 стр.п.7-8'!$C$19</definedName>
    <definedName name="_90h_E22">'Одоевского п~ д.7 к.4 стр.п.7-8'!$C$20</definedName>
    <definedName name="_90h_E23">'Одоевского п~ д.7 к.4 стр.п.7-8'!$C$21</definedName>
    <definedName name="_90h_E24">'Одоевского п~ д.7 к.4 стр.п.7-8'!$C$22</definedName>
    <definedName name="_90h_E25">'Одоевского п~ д.7 к.4 стр.п.7-8'!$C$23</definedName>
    <definedName name="_90h_E26">'Одоевского п~ д.7 к.4 стр.п.7-8'!$C$24</definedName>
    <definedName name="_90h_E27">'Одоевского п~ д.7 к.4 стр.п.7-8'!$C$25</definedName>
    <definedName name="_90h_E28">'Одоевского п~ д.7 к.4 стр.п.7-8'!$C$26</definedName>
    <definedName name="_90h_E29">'Одоевского п~ д.7 к.4 стр.п.7-8'!$C$27</definedName>
    <definedName name="_90h_E30">'Одоевского п~ д.7 к.4 стр.п.7-8'!$C$28</definedName>
    <definedName name="_90h_E31">'Одоевского п~ д.7 к.4 стр.п.7-8'!$C$29</definedName>
    <definedName name="_90h_E32">'Одоевского п~ д.7 к.4 стр.п.7-8'!$C$30</definedName>
    <definedName name="_90h_E33">'Одоевского п~ д.7 к.4 стр.п.7-8'!$C$31</definedName>
    <definedName name="_90h_E34">'Одоевского п~ д.7 к.4 стр.п.7-8'!$C$32</definedName>
    <definedName name="_90h_E35">'Одоевского п~ д.7 к.4 стр.п.7-8'!$C$33</definedName>
    <definedName name="_90h_E36">'Одоевского п~ д.7 к.4 стр.п.7-8'!$C$34</definedName>
    <definedName name="_90h_E37">'Одоевского п~ д.7 к.4 стр.п.7-8'!$C$35</definedName>
    <definedName name="_90h_E38">'Одоевского п~ д.7 к.4 стр.п.7-8'!$C$36</definedName>
    <definedName name="_90h_E39">'Одоевского п~ д.7 к.4 стр.п.7-8'!$C$37</definedName>
    <definedName name="_90h_E40">'Одоевского п~ д.7 к.4 стр.п.7-8'!$C$38</definedName>
    <definedName name="_90h_E41">'Одоевского п~ д.7 к.4 стр.п.7-8'!$C$39</definedName>
    <definedName name="_90h_E42">'Одоевского п~ д.7 к.4 стр.п.7-8'!$C$40</definedName>
    <definedName name="_90h_E43">'Одоевского п~ д.7 к.4 стр.п.7-8'!$C$41</definedName>
    <definedName name="_90h_E44">'Одоевского п~ д.7 к.4 стр.п.7-8'!$C$42</definedName>
    <definedName name="_90h_E45">'Одоевского п~ д.7 к.4 стр.п.7-8'!$C$43</definedName>
    <definedName name="_90h_E46">'Одоевского п~ д.7 к.4 стр.п.7-8'!$C$44</definedName>
    <definedName name="_90h_E47">'Одоевского п~ д.7 к.4 стр.п.7-8'!$C$45</definedName>
    <definedName name="_90h_E48">'Одоевского п~ д.7 к.4 стр.п.7-8'!$C$46</definedName>
    <definedName name="_90h_E49">'Одоевского п~ д.7 к.4 стр.п.7-8'!$C$47</definedName>
    <definedName name="_90h_E50">'Одоевского п~ д.7 к.4 стр.п.7-8'!$C$48</definedName>
    <definedName name="_90h_E51">'Одоевского п~ д.7 к.4 стр.п.7-8'!$C$49</definedName>
    <definedName name="_90h_E52">'Одоевского п~ д.7 к.4 стр.п.7-8'!#REF!</definedName>
    <definedName name="_90h_E53">'Одоевского п~ д.7 к.4 стр.п.7-8'!$C$50</definedName>
    <definedName name="_90h_E54">'Одоевского п~ д.7 к.4 стр.п.7-8'!$C$51</definedName>
    <definedName name="_90h_E55">'Одоевского п~ д.7 к.4 стр.п.7-8'!$C$52</definedName>
    <definedName name="_90h_E56">'Одоевского п~ д.7 к.4 стр.п.7-8'!$C$53</definedName>
    <definedName name="_90h_E57">'Одоевского п~ д.7 к.4 стр.п.7-8'!$C$54</definedName>
    <definedName name="_90h_E58">'Одоевского п~ д.7 к.4 стр.п.7-8'!$C$55</definedName>
    <definedName name="_90h_E59">'Одоевского п~ д.7 к.4 стр.п.7-8'!$C$56</definedName>
    <definedName name="_90h_E60">'Одоевского п~ д.7 к.4 стр.п.7-8'!$C$57</definedName>
    <definedName name="_90h_E61">'Одоевского п~ д.7 к.4 стр.п.7-8'!$C$58</definedName>
    <definedName name="_90h_E62">'Одоевского п~ д.7 к.4 стр.п.7-8'!$C$59</definedName>
    <definedName name="_90h_E63">'Одоевского п~ д.7 к.4 стр.п.7-8'!#REF!</definedName>
    <definedName name="_90h_E64">'Одоевского п~ д.7 к.4 стр.п.7-8'!$C$60</definedName>
    <definedName name="_90h_E65">'Одоевского п~ д.7 к.4 стр.п.7-8'!$C$61</definedName>
    <definedName name="_90h_E7">'Одоевского п~ д.7 к.4 стр.п.7-8'!$C$5</definedName>
    <definedName name="_90h_E8">'Одоевского п~ д.7 к.4 стр.п.7-8'!$C$6</definedName>
    <definedName name="_90h_E9">'Одоевского п~ д.7 к.4 стр.п.7-8'!$C$7</definedName>
    <definedName name="_90h_F10">'Одоевского п~ д.7 к.4 стр.п.7-8'!$D$8</definedName>
    <definedName name="_90h_F11">'Одоевского п~ д.7 к.4 стр.п.7-8'!$D$9</definedName>
    <definedName name="_90h_F12">'Одоевского п~ д.7 к.4 стр.п.7-8'!$D$10</definedName>
    <definedName name="_90h_F13">'Одоевского п~ д.7 к.4 стр.п.7-8'!$D$11</definedName>
    <definedName name="_90h_F14">'Одоевского п~ д.7 к.4 стр.п.7-8'!$D$12</definedName>
    <definedName name="_90h_F15">'Одоевского п~ д.7 к.4 стр.п.7-8'!$D$13</definedName>
    <definedName name="_90h_F16">'Одоевского п~ д.7 к.4 стр.п.7-8'!$D$14</definedName>
    <definedName name="_90h_F17">'Одоевского п~ д.7 к.4 стр.п.7-8'!$D$15</definedName>
    <definedName name="_90h_F18">'Одоевского п~ д.7 к.4 стр.п.7-8'!$D$16</definedName>
    <definedName name="_90h_F19">'Одоевского п~ д.7 к.4 стр.п.7-8'!$D$17</definedName>
    <definedName name="_90h_F20">'Одоевского п~ д.7 к.4 стр.п.7-8'!$D$18</definedName>
    <definedName name="_90h_F21">'Одоевского п~ д.7 к.4 стр.п.7-8'!$D$19</definedName>
    <definedName name="_90h_F22">'Одоевского п~ д.7 к.4 стр.п.7-8'!$D$20</definedName>
    <definedName name="_90h_F23">'Одоевского п~ д.7 к.4 стр.п.7-8'!$D$21</definedName>
    <definedName name="_90h_F24">'Одоевского п~ д.7 к.4 стр.п.7-8'!$D$22</definedName>
    <definedName name="_90h_F25">'Одоевского п~ д.7 к.4 стр.п.7-8'!$D$23</definedName>
    <definedName name="_90h_F26">'Одоевского п~ д.7 к.4 стр.п.7-8'!$D$24</definedName>
    <definedName name="_90h_F27">'Одоевского п~ д.7 к.4 стр.п.7-8'!$D$25</definedName>
    <definedName name="_90h_F28">'Одоевского п~ д.7 к.4 стр.п.7-8'!$D$26</definedName>
    <definedName name="_90h_F29">'Одоевского п~ д.7 к.4 стр.п.7-8'!$D$27</definedName>
    <definedName name="_90h_F30">'Одоевского п~ д.7 к.4 стр.п.7-8'!$D$28</definedName>
    <definedName name="_90h_F31">'Одоевского п~ д.7 к.4 стр.п.7-8'!$D$29</definedName>
    <definedName name="_90h_F32">'Одоевского п~ д.7 к.4 стр.п.7-8'!$D$30</definedName>
    <definedName name="_90h_F33">'Одоевского п~ д.7 к.4 стр.п.7-8'!$D$31</definedName>
    <definedName name="_90h_F34">'Одоевского п~ д.7 к.4 стр.п.7-8'!$D$32</definedName>
    <definedName name="_90h_F35">'Одоевского п~ д.7 к.4 стр.п.7-8'!$D$33</definedName>
    <definedName name="_90h_F36">'Одоевского п~ д.7 к.4 стр.п.7-8'!$D$34</definedName>
    <definedName name="_90h_F37">'Одоевского п~ д.7 к.4 стр.п.7-8'!$D$35</definedName>
    <definedName name="_90h_F38">'Одоевского п~ д.7 к.4 стр.п.7-8'!$D$36</definedName>
    <definedName name="_90h_F39">'Одоевского п~ д.7 к.4 стр.п.7-8'!$D$37</definedName>
    <definedName name="_90h_F40">'Одоевского п~ д.7 к.4 стр.п.7-8'!$D$38</definedName>
    <definedName name="_90h_F41">'Одоевского п~ д.7 к.4 стр.п.7-8'!$D$39</definedName>
    <definedName name="_90h_F42">'Одоевского п~ д.7 к.4 стр.п.7-8'!$D$40</definedName>
    <definedName name="_90h_F43">'Одоевского п~ д.7 к.4 стр.п.7-8'!$D$41</definedName>
    <definedName name="_90h_F44">'Одоевского п~ д.7 к.4 стр.п.7-8'!$D$42</definedName>
    <definedName name="_90h_F45">'Одоевского п~ д.7 к.4 стр.п.7-8'!$D$43</definedName>
    <definedName name="_90h_F46">'Одоевского п~ д.7 к.4 стр.п.7-8'!$D$44</definedName>
    <definedName name="_90h_F47">'Одоевского п~ д.7 к.4 стр.п.7-8'!$D$45</definedName>
    <definedName name="_90h_F48">'Одоевского п~ д.7 к.4 стр.п.7-8'!$D$46</definedName>
    <definedName name="_90h_F49">'Одоевского п~ д.7 к.4 стр.п.7-8'!$D$47</definedName>
    <definedName name="_90h_F50">'Одоевского п~ д.7 к.4 стр.п.7-8'!$D$48</definedName>
    <definedName name="_90h_F51">'Одоевского п~ д.7 к.4 стр.п.7-8'!$D$49</definedName>
    <definedName name="_90h_F52">'Одоевского п~ д.7 к.4 стр.п.7-8'!#REF!</definedName>
    <definedName name="_90h_F53">'Одоевского п~ д.7 к.4 стр.п.7-8'!$D$50</definedName>
    <definedName name="_90h_F54">'Одоевского п~ д.7 к.4 стр.п.7-8'!$D$51</definedName>
    <definedName name="_90h_F55">'Одоевского п~ д.7 к.4 стр.п.7-8'!$D$52</definedName>
    <definedName name="_90h_F56">'Одоевского п~ д.7 к.4 стр.п.7-8'!$D$53</definedName>
    <definedName name="_90h_F57">'Одоевского п~ д.7 к.4 стр.п.7-8'!$D$54</definedName>
    <definedName name="_90h_F58">'Одоевского п~ д.7 к.4 стр.п.7-8'!$D$55</definedName>
    <definedName name="_90h_F59">'Одоевского п~ д.7 к.4 стр.п.7-8'!$D$56</definedName>
    <definedName name="_90h_F60">'Одоевского п~ д.7 к.4 стр.п.7-8'!$D$57</definedName>
    <definedName name="_90h_F61">'Одоевского п~ д.7 к.4 стр.п.7-8'!$D$58</definedName>
    <definedName name="_90h_F62">'Одоевского п~ д.7 к.4 стр.п.7-8'!$D$59</definedName>
    <definedName name="_90h_F63">'Одоевского п~ д.7 к.4 стр.п.7-8'!#REF!</definedName>
    <definedName name="_90h_F64">'Одоевского п~ д.7 к.4 стр.п.7-8'!$D$60</definedName>
    <definedName name="_90h_F65">'Одоевского п~ д.7 к.4 стр.п.7-8'!$D$61</definedName>
    <definedName name="_90h_F7">'Одоевского п~ д.7 к.4 стр.п.7-8'!$D$5</definedName>
    <definedName name="_90h_F8">'Одоевского п~ д.7 к.4 стр.п.7-8'!$D$6</definedName>
    <definedName name="_90h_F9">'Одоевского п~ д.7 к.4 стр.п.7-8'!$D$7</definedName>
    <definedName name="_91h_E10">'Одоевского пр-д д.7 к.7'!$C$8</definedName>
    <definedName name="_91h_E11">'Одоевского пр-д д.7 к.7'!$C$9</definedName>
    <definedName name="_91h_E12">'Одоевского пр-д д.7 к.7'!$C$10</definedName>
    <definedName name="_91h_E13">'Одоевского пр-д д.7 к.7'!$C$11</definedName>
    <definedName name="_91h_E14">'Одоевского пр-д д.7 к.7'!$C$12</definedName>
    <definedName name="_91h_E15">'Одоевского пр-д д.7 к.7'!$C$13</definedName>
    <definedName name="_91h_E16">'Одоевского пр-д д.7 к.7'!$C$14</definedName>
    <definedName name="_91h_E17">'Одоевского пр-д д.7 к.7'!$C$15</definedName>
    <definedName name="_91h_E18">'Одоевского пр-д д.7 к.7'!$C$16</definedName>
    <definedName name="_91h_E19">'Одоевского пр-д д.7 к.7'!$C$17</definedName>
    <definedName name="_91h_E20">'Одоевского пр-д д.7 к.7'!$C$18</definedName>
    <definedName name="_91h_E21">'Одоевского пр-д д.7 к.7'!$C$19</definedName>
    <definedName name="_91h_E22">'Одоевского пр-д д.7 к.7'!$C$20</definedName>
    <definedName name="_91h_E23">'Одоевского пр-д д.7 к.7'!$C$21</definedName>
    <definedName name="_91h_E24">'Одоевского пр-д д.7 к.7'!$C$22</definedName>
    <definedName name="_91h_E25">'Одоевского пр-д д.7 к.7'!$C$23</definedName>
    <definedName name="_91h_E26">'Одоевского пр-д д.7 к.7'!$C$24</definedName>
    <definedName name="_91h_E27">'Одоевского пр-д д.7 к.7'!$C$25</definedName>
    <definedName name="_91h_E28">'Одоевского пр-д д.7 к.7'!$C$26</definedName>
    <definedName name="_91h_E29">'Одоевского пр-д д.7 к.7'!$C$27</definedName>
    <definedName name="_91h_E30">'Одоевского пр-д д.7 к.7'!$C$28</definedName>
    <definedName name="_91h_E31">'Одоевского пр-д д.7 к.7'!$C$29</definedName>
    <definedName name="_91h_E32">'Одоевского пр-д д.7 к.7'!$C$30</definedName>
    <definedName name="_91h_E33">'Одоевского пр-д д.7 к.7'!$C$31</definedName>
    <definedName name="_91h_E34">'Одоевского пр-д д.7 к.7'!$C$32</definedName>
    <definedName name="_91h_E35">'Одоевского пр-д д.7 к.7'!$C$33</definedName>
    <definedName name="_91h_E36">'Одоевского пр-д д.7 к.7'!$C$34</definedName>
    <definedName name="_91h_E37">'Одоевского пр-д д.7 к.7'!$C$35</definedName>
    <definedName name="_91h_E38">'Одоевского пр-д д.7 к.7'!$C$36</definedName>
    <definedName name="_91h_E39">'Одоевского пр-д д.7 к.7'!$C$37</definedName>
    <definedName name="_91h_E40">'Одоевского пр-д д.7 к.7'!$C$38</definedName>
    <definedName name="_91h_E41">'Одоевского пр-д д.7 к.7'!$C$39</definedName>
    <definedName name="_91h_E42">'Одоевского пр-д д.7 к.7'!$C$40</definedName>
    <definedName name="_91h_E43">'Одоевского пр-д д.7 к.7'!$C$41</definedName>
    <definedName name="_91h_E44">'Одоевского пр-д д.7 к.7'!$C$42</definedName>
    <definedName name="_91h_E45">'Одоевского пр-д д.7 к.7'!$C$43</definedName>
    <definedName name="_91h_E46">'Одоевского пр-д д.7 к.7'!$C$44</definedName>
    <definedName name="_91h_E47">'Одоевского пр-д д.7 к.7'!$C$45</definedName>
    <definedName name="_91h_E48">'Одоевского пр-д д.7 к.7'!$C$46</definedName>
    <definedName name="_91h_E49">'Одоевского пр-д д.7 к.7'!$C$47</definedName>
    <definedName name="_91h_E50">'Одоевского пр-д д.7 к.7'!$C$48</definedName>
    <definedName name="_91h_E51">'Одоевского пр-д д.7 к.7'!$C$49</definedName>
    <definedName name="_91h_E52">'Одоевского пр-д д.7 к.7'!#REF!</definedName>
    <definedName name="_91h_E53">'Одоевского пр-д д.7 к.7'!$C$50</definedName>
    <definedName name="_91h_E54">'Одоевского пр-д д.7 к.7'!$C$51</definedName>
    <definedName name="_91h_E55">'Одоевского пр-д д.7 к.7'!$C$52</definedName>
    <definedName name="_91h_E56">'Одоевского пр-д д.7 к.7'!$C$53</definedName>
    <definedName name="_91h_E57">'Одоевского пр-д д.7 к.7'!$C$54</definedName>
    <definedName name="_91h_E58">'Одоевского пр-д д.7 к.7'!$C$55</definedName>
    <definedName name="_91h_E59">'Одоевского пр-д д.7 к.7'!$C$56</definedName>
    <definedName name="_91h_E60">'Одоевского пр-д д.7 к.7'!$C$57</definedName>
    <definedName name="_91h_E61">'Одоевского пр-д д.7 к.7'!$C$58</definedName>
    <definedName name="_91h_E62">'Одоевского пр-д д.7 к.7'!$C$59</definedName>
    <definedName name="_91h_E63">'Одоевского пр-д д.7 к.7'!#REF!</definedName>
    <definedName name="_91h_E64">'Одоевского пр-д д.7 к.7'!$C$60</definedName>
    <definedName name="_91h_E65">'Одоевского пр-д д.7 к.7'!$C$61</definedName>
    <definedName name="_91h_E7">'Одоевского пр-д д.7 к.7'!$C$5</definedName>
    <definedName name="_91h_E8">'Одоевского пр-д д.7 к.7'!$C$6</definedName>
    <definedName name="_91h_E9">'Одоевского пр-д д.7 к.7'!$C$7</definedName>
    <definedName name="_91h_F10">'Одоевского пр-д д.7 к.7'!$D$8</definedName>
    <definedName name="_91h_F11">'Одоевского пр-д д.7 к.7'!$D$9</definedName>
    <definedName name="_91h_F12">'Одоевского пр-д д.7 к.7'!$D$10</definedName>
    <definedName name="_91h_F13">'Одоевского пр-д д.7 к.7'!$D$11</definedName>
    <definedName name="_91h_F14">'Одоевского пр-д д.7 к.7'!$D$12</definedName>
    <definedName name="_91h_F15">'Одоевского пр-д д.7 к.7'!$D$13</definedName>
    <definedName name="_91h_F16">'Одоевского пр-д д.7 к.7'!$D$14</definedName>
    <definedName name="_91h_F17">'Одоевского пр-д д.7 к.7'!$D$15</definedName>
    <definedName name="_91h_F18">'Одоевского пр-д д.7 к.7'!$D$16</definedName>
    <definedName name="_91h_F19">'Одоевского пр-д д.7 к.7'!$D$17</definedName>
    <definedName name="_91h_F20">'Одоевского пр-д д.7 к.7'!$D$18</definedName>
    <definedName name="_91h_F21">'Одоевского пр-д д.7 к.7'!$D$19</definedName>
    <definedName name="_91h_F22">'Одоевского пр-д д.7 к.7'!$D$20</definedName>
    <definedName name="_91h_F23">'Одоевского пр-д д.7 к.7'!$D$21</definedName>
    <definedName name="_91h_F24">'Одоевского пр-д д.7 к.7'!$D$22</definedName>
    <definedName name="_91h_F25">'Одоевского пр-д д.7 к.7'!$D$23</definedName>
    <definedName name="_91h_F26">'Одоевского пр-д д.7 к.7'!$D$24</definedName>
    <definedName name="_91h_F27">'Одоевского пр-д д.7 к.7'!$D$25</definedName>
    <definedName name="_91h_F28">'Одоевского пр-д д.7 к.7'!$D$26</definedName>
    <definedName name="_91h_F29">'Одоевского пр-д д.7 к.7'!$D$27</definedName>
    <definedName name="_91h_F30">'Одоевского пр-д д.7 к.7'!$D$28</definedName>
    <definedName name="_91h_F31">'Одоевского пр-д д.7 к.7'!$D$29</definedName>
    <definedName name="_91h_F32">'Одоевского пр-д д.7 к.7'!$D$30</definedName>
    <definedName name="_91h_F33">'Одоевского пр-д д.7 к.7'!$D$31</definedName>
    <definedName name="_91h_F34">'Одоевского пр-д д.7 к.7'!$D$32</definedName>
    <definedName name="_91h_F35">'Одоевского пр-д д.7 к.7'!$D$33</definedName>
    <definedName name="_91h_F36">'Одоевского пр-д д.7 к.7'!$D$34</definedName>
    <definedName name="_91h_F37">'Одоевского пр-д д.7 к.7'!$D$35</definedName>
    <definedName name="_91h_F38">'Одоевского пр-д д.7 к.7'!$D$36</definedName>
    <definedName name="_91h_F39">'Одоевского пр-д д.7 к.7'!$D$37</definedName>
    <definedName name="_91h_F40">'Одоевского пр-д д.7 к.7'!$D$38</definedName>
    <definedName name="_91h_F41">'Одоевского пр-д д.7 к.7'!$D$39</definedName>
    <definedName name="_91h_F42">'Одоевского пр-д д.7 к.7'!$D$40</definedName>
    <definedName name="_91h_F43">'Одоевского пр-д д.7 к.7'!$D$41</definedName>
    <definedName name="_91h_F44">'Одоевского пр-д д.7 к.7'!$D$42</definedName>
    <definedName name="_91h_F45">'Одоевского пр-д д.7 к.7'!$D$43</definedName>
    <definedName name="_91h_F46">'Одоевского пр-д д.7 к.7'!$D$44</definedName>
    <definedName name="_91h_F47">'Одоевского пр-д д.7 к.7'!$D$45</definedName>
    <definedName name="_91h_F48">'Одоевского пр-д д.7 к.7'!$D$46</definedName>
    <definedName name="_91h_F49">'Одоевского пр-д д.7 к.7'!$D$47</definedName>
    <definedName name="_91h_F50">'Одоевского пр-д д.7 к.7'!$D$48</definedName>
    <definedName name="_91h_F51">'Одоевского пр-д д.7 к.7'!$D$49</definedName>
    <definedName name="_91h_F52">'Одоевского пр-д д.7 к.7'!#REF!</definedName>
    <definedName name="_91h_F53">'Одоевского пр-д д.7 к.7'!$D$50</definedName>
    <definedName name="_91h_F54">'Одоевского пр-д д.7 к.7'!$D$51</definedName>
    <definedName name="_91h_F55">'Одоевского пр-д д.7 к.7'!$D$52</definedName>
    <definedName name="_91h_F56">'Одоевского пр-д д.7 к.7'!$D$53</definedName>
    <definedName name="_91h_F57">'Одоевского пр-д д.7 к.7'!$D$54</definedName>
    <definedName name="_91h_F58">'Одоевского пр-д д.7 к.7'!$D$55</definedName>
    <definedName name="_91h_F59">'Одоевского пр-д д.7 к.7'!$D$56</definedName>
    <definedName name="_91h_F60">'Одоевского пр-д д.7 к.7'!$D$57</definedName>
    <definedName name="_91h_F61">'Одоевского пр-д д.7 к.7'!$D$58</definedName>
    <definedName name="_91h_F62">'Одоевского пр-д д.7 к.7'!$D$59</definedName>
    <definedName name="_91h_F63">'Одоевского пр-д д.7 к.7'!#REF!</definedName>
    <definedName name="_91h_F64">'Одоевского пр-д д.7 к.7'!$D$60</definedName>
    <definedName name="_91h_F65">'Одоевского пр-д д.7 к.7'!$D$61</definedName>
    <definedName name="_91h_F7">'Одоевского пр-д д.7 к.7'!$D$5</definedName>
    <definedName name="_91h_F8">'Одоевского пр-д д.7 к.7'!$D$6</definedName>
    <definedName name="_91h_F9">'Одоевского пр-д д.7 к.7'!$D$7</definedName>
    <definedName name="_92h_E10">'Одоевского ~ д.11 к.1 стр.п.1-2'!$C$8</definedName>
    <definedName name="_92h_E11">'Одоевского ~ д.11 к.1 стр.п.1-2'!$C$9</definedName>
    <definedName name="_92h_E12">'Одоевского ~ д.11 к.1 стр.п.1-2'!$C$10</definedName>
    <definedName name="_92h_E13">'Одоевского ~ д.11 к.1 стр.п.1-2'!$C$11</definedName>
    <definedName name="_92h_E14">'Одоевского ~ д.11 к.1 стр.п.1-2'!$C$12</definedName>
    <definedName name="_92h_E15">'Одоевского ~ д.11 к.1 стр.п.1-2'!$C$13</definedName>
    <definedName name="_92h_E16">'Одоевского ~ д.11 к.1 стр.п.1-2'!$C$14</definedName>
    <definedName name="_92h_E17">'Одоевского ~ д.11 к.1 стр.п.1-2'!$C$15</definedName>
    <definedName name="_92h_E18">'Одоевского ~ д.11 к.1 стр.п.1-2'!$C$16</definedName>
    <definedName name="_92h_E19">'Одоевского ~ д.11 к.1 стр.п.1-2'!$C$17</definedName>
    <definedName name="_92h_E20">'Одоевского ~ д.11 к.1 стр.п.1-2'!$C$18</definedName>
    <definedName name="_92h_E21">'Одоевского ~ д.11 к.1 стр.п.1-2'!$C$19</definedName>
    <definedName name="_92h_E22">'Одоевского ~ д.11 к.1 стр.п.1-2'!$C$20</definedName>
    <definedName name="_92h_E23">'Одоевского ~ д.11 к.1 стр.п.1-2'!$C$21</definedName>
    <definedName name="_92h_E24">'Одоевского ~ д.11 к.1 стр.п.1-2'!$C$22</definedName>
    <definedName name="_92h_E25">'Одоевского ~ д.11 к.1 стр.п.1-2'!$C$23</definedName>
    <definedName name="_92h_E26">'Одоевского ~ д.11 к.1 стр.п.1-2'!$C$24</definedName>
    <definedName name="_92h_E27">'Одоевского ~ д.11 к.1 стр.п.1-2'!$C$25</definedName>
    <definedName name="_92h_E28">'Одоевского ~ д.11 к.1 стр.п.1-2'!$C$26</definedName>
    <definedName name="_92h_E29">'Одоевского ~ д.11 к.1 стр.п.1-2'!$C$27</definedName>
    <definedName name="_92h_E30">'Одоевского ~ д.11 к.1 стр.п.1-2'!$C$28</definedName>
    <definedName name="_92h_E31">'Одоевского ~ д.11 к.1 стр.п.1-2'!$C$29</definedName>
    <definedName name="_92h_E32">'Одоевского ~ д.11 к.1 стр.п.1-2'!$C$30</definedName>
    <definedName name="_92h_E33">'Одоевского ~ д.11 к.1 стр.п.1-2'!$C$31</definedName>
    <definedName name="_92h_E34">'Одоевского ~ д.11 к.1 стр.п.1-2'!$C$32</definedName>
    <definedName name="_92h_E35">'Одоевского ~ д.11 к.1 стр.п.1-2'!$C$33</definedName>
    <definedName name="_92h_E36">'Одоевского ~ д.11 к.1 стр.п.1-2'!$C$34</definedName>
    <definedName name="_92h_E37">'Одоевского ~ д.11 к.1 стр.п.1-2'!$C$35</definedName>
    <definedName name="_92h_E38">'Одоевского ~ д.11 к.1 стр.п.1-2'!$C$36</definedName>
    <definedName name="_92h_E39">'Одоевского ~ д.11 к.1 стр.п.1-2'!$C$37</definedName>
    <definedName name="_92h_E40">'Одоевского ~ д.11 к.1 стр.п.1-2'!$C$38</definedName>
    <definedName name="_92h_E41">'Одоевского ~ д.11 к.1 стр.п.1-2'!$C$39</definedName>
    <definedName name="_92h_E42">'Одоевского ~ д.11 к.1 стр.п.1-2'!$C$40</definedName>
    <definedName name="_92h_E43">'Одоевского ~ д.11 к.1 стр.п.1-2'!$C$41</definedName>
    <definedName name="_92h_E44">'Одоевского ~ д.11 к.1 стр.п.1-2'!$C$42</definedName>
    <definedName name="_92h_E45">'Одоевского ~ д.11 к.1 стр.п.1-2'!$C$43</definedName>
    <definedName name="_92h_E46">'Одоевского ~ д.11 к.1 стр.п.1-2'!$C$44</definedName>
    <definedName name="_92h_E47">'Одоевского ~ д.11 к.1 стр.п.1-2'!$C$45</definedName>
    <definedName name="_92h_E48">'Одоевского ~ д.11 к.1 стр.п.1-2'!$C$46</definedName>
    <definedName name="_92h_E49">'Одоевского ~ д.11 к.1 стр.п.1-2'!$C$47</definedName>
    <definedName name="_92h_E50">'Одоевского ~ д.11 к.1 стр.п.1-2'!$C$48</definedName>
    <definedName name="_92h_E51">'Одоевского ~ д.11 к.1 стр.п.1-2'!$C$49</definedName>
    <definedName name="_92h_E52">'Одоевского ~ д.11 к.1 стр.п.1-2'!#REF!</definedName>
    <definedName name="_92h_E53">'Одоевского ~ д.11 к.1 стр.п.1-2'!$C$50</definedName>
    <definedName name="_92h_E54">'Одоевского ~ д.11 к.1 стр.п.1-2'!$C$51</definedName>
    <definedName name="_92h_E55">'Одоевского ~ д.11 к.1 стр.п.1-2'!$C$52</definedName>
    <definedName name="_92h_E56">'Одоевского ~ д.11 к.1 стр.п.1-2'!$C$53</definedName>
    <definedName name="_92h_E57">'Одоевского ~ д.11 к.1 стр.п.1-2'!$C$54</definedName>
    <definedName name="_92h_E58">'Одоевского ~ д.11 к.1 стр.п.1-2'!$C$55</definedName>
    <definedName name="_92h_E59">'Одоевского ~ д.11 к.1 стр.п.1-2'!$C$56</definedName>
    <definedName name="_92h_E60">'Одоевского ~ д.11 к.1 стр.п.1-2'!$C$57</definedName>
    <definedName name="_92h_E61">'Одоевского ~ д.11 к.1 стр.п.1-2'!$C$58</definedName>
    <definedName name="_92h_E62">'Одоевского ~ д.11 к.1 стр.п.1-2'!$C$59</definedName>
    <definedName name="_92h_E63">'Одоевского ~ д.11 к.1 стр.п.1-2'!#REF!</definedName>
    <definedName name="_92h_E64">'Одоевского ~ д.11 к.1 стр.п.1-2'!$C$60</definedName>
    <definedName name="_92h_E65">'Одоевского ~ д.11 к.1 стр.п.1-2'!$C$61</definedName>
    <definedName name="_92h_E7">'Одоевского ~ д.11 к.1 стр.п.1-2'!$C$5</definedName>
    <definedName name="_92h_E8">'Одоевского ~ д.11 к.1 стр.п.1-2'!$C$6</definedName>
    <definedName name="_92h_E9">'Одоевского ~ д.11 к.1 стр.п.1-2'!$C$7</definedName>
    <definedName name="_92h_F10">'Одоевского ~ д.11 к.1 стр.п.1-2'!$D$8</definedName>
    <definedName name="_92h_F11">'Одоевского ~ д.11 к.1 стр.п.1-2'!$D$9</definedName>
    <definedName name="_92h_F12">'Одоевского ~ д.11 к.1 стр.п.1-2'!$D$10</definedName>
    <definedName name="_92h_F13">'Одоевского ~ д.11 к.1 стр.п.1-2'!$D$11</definedName>
    <definedName name="_92h_F14">'Одоевского ~ д.11 к.1 стр.п.1-2'!$D$12</definedName>
    <definedName name="_92h_F15">'Одоевского ~ д.11 к.1 стр.п.1-2'!$D$13</definedName>
    <definedName name="_92h_F16">'Одоевского ~ д.11 к.1 стр.п.1-2'!$D$14</definedName>
    <definedName name="_92h_F17">'Одоевского ~ д.11 к.1 стр.п.1-2'!$D$15</definedName>
    <definedName name="_92h_F18">'Одоевского ~ д.11 к.1 стр.п.1-2'!$D$16</definedName>
    <definedName name="_92h_F19">'Одоевского ~ д.11 к.1 стр.п.1-2'!$D$17</definedName>
    <definedName name="_92h_F20">'Одоевского ~ д.11 к.1 стр.п.1-2'!$D$18</definedName>
    <definedName name="_92h_F21">'Одоевского ~ д.11 к.1 стр.п.1-2'!$D$19</definedName>
    <definedName name="_92h_F22">'Одоевского ~ д.11 к.1 стр.п.1-2'!$D$20</definedName>
    <definedName name="_92h_F23">'Одоевского ~ д.11 к.1 стр.п.1-2'!$D$21</definedName>
    <definedName name="_92h_F24">'Одоевского ~ д.11 к.1 стр.п.1-2'!$D$22</definedName>
    <definedName name="_92h_F25">'Одоевского ~ д.11 к.1 стр.п.1-2'!$D$23</definedName>
    <definedName name="_92h_F26">'Одоевского ~ д.11 к.1 стр.п.1-2'!$D$24</definedName>
    <definedName name="_92h_F27">'Одоевского ~ д.11 к.1 стр.п.1-2'!$D$25</definedName>
    <definedName name="_92h_F28">'Одоевского ~ д.11 к.1 стр.п.1-2'!$D$26</definedName>
    <definedName name="_92h_F29">'Одоевского ~ д.11 к.1 стр.п.1-2'!$D$27</definedName>
    <definedName name="_92h_F30">'Одоевского ~ д.11 к.1 стр.п.1-2'!$D$28</definedName>
    <definedName name="_92h_F31">'Одоевского ~ д.11 к.1 стр.п.1-2'!$D$29</definedName>
    <definedName name="_92h_F32">'Одоевского ~ д.11 к.1 стр.п.1-2'!$D$30</definedName>
    <definedName name="_92h_F33">'Одоевского ~ д.11 к.1 стр.п.1-2'!$D$31</definedName>
    <definedName name="_92h_F34">'Одоевского ~ д.11 к.1 стр.п.1-2'!$D$32</definedName>
    <definedName name="_92h_F35">'Одоевского ~ д.11 к.1 стр.п.1-2'!$D$33</definedName>
    <definedName name="_92h_F36">'Одоевского ~ д.11 к.1 стр.п.1-2'!$D$34</definedName>
    <definedName name="_92h_F37">'Одоевского ~ д.11 к.1 стр.п.1-2'!$D$35</definedName>
    <definedName name="_92h_F38">'Одоевского ~ д.11 к.1 стр.п.1-2'!$D$36</definedName>
    <definedName name="_92h_F39">'Одоевского ~ д.11 к.1 стр.п.1-2'!$D$37</definedName>
    <definedName name="_92h_F40">'Одоевского ~ д.11 к.1 стр.п.1-2'!$D$38</definedName>
    <definedName name="_92h_F41">'Одоевского ~ д.11 к.1 стр.п.1-2'!$D$39</definedName>
    <definedName name="_92h_F42">'Одоевского ~ д.11 к.1 стр.п.1-2'!$D$40</definedName>
    <definedName name="_92h_F43">'Одоевского ~ д.11 к.1 стр.п.1-2'!$D$41</definedName>
    <definedName name="_92h_F44">'Одоевского ~ д.11 к.1 стр.п.1-2'!$D$42</definedName>
    <definedName name="_92h_F45">'Одоевского ~ д.11 к.1 стр.п.1-2'!$D$43</definedName>
    <definedName name="_92h_F46">'Одоевского ~ д.11 к.1 стр.п.1-2'!$D$44</definedName>
    <definedName name="_92h_F47">'Одоевского ~ д.11 к.1 стр.п.1-2'!$D$45</definedName>
    <definedName name="_92h_F48">'Одоевского ~ д.11 к.1 стр.п.1-2'!$D$46</definedName>
    <definedName name="_92h_F49">'Одоевского ~ д.11 к.1 стр.п.1-2'!$D$47</definedName>
    <definedName name="_92h_F50">'Одоевского ~ д.11 к.1 стр.п.1-2'!$D$48</definedName>
    <definedName name="_92h_F51">'Одоевского ~ д.11 к.1 стр.п.1-2'!$D$49</definedName>
    <definedName name="_92h_F52">'Одоевского ~ д.11 к.1 стр.п.1-2'!#REF!</definedName>
    <definedName name="_92h_F53">'Одоевского ~ д.11 к.1 стр.п.1-2'!$D$50</definedName>
    <definedName name="_92h_F54">'Одоевского ~ д.11 к.1 стр.п.1-2'!$D$51</definedName>
    <definedName name="_92h_F55">'Одоевского ~ д.11 к.1 стр.п.1-2'!$D$52</definedName>
    <definedName name="_92h_F56">'Одоевского ~ д.11 к.1 стр.п.1-2'!$D$53</definedName>
    <definedName name="_92h_F57">'Одоевского ~ д.11 к.1 стр.п.1-2'!$D$54</definedName>
    <definedName name="_92h_F58">'Одоевского ~ д.11 к.1 стр.п.1-2'!$D$55</definedName>
    <definedName name="_92h_F59">'Одоевского ~ д.11 к.1 стр.п.1-2'!$D$56</definedName>
    <definedName name="_92h_F60">'Одоевского ~ д.11 к.1 стр.п.1-2'!$D$57</definedName>
    <definedName name="_92h_F61">'Одоевского ~ д.11 к.1 стр.п.1-2'!$D$58</definedName>
    <definedName name="_92h_F62">'Одоевского ~ д.11 к.1 стр.п.1-2'!$D$59</definedName>
    <definedName name="_92h_F63">'Одоевского ~ д.11 к.1 стр.п.1-2'!#REF!</definedName>
    <definedName name="_92h_F64">'Одоевского ~ д.11 к.1 стр.п.1-2'!$D$60</definedName>
    <definedName name="_92h_F65">'Одоевского ~ д.11 к.1 стр.п.1-2'!$D$61</definedName>
    <definedName name="_92h_F7">'Одоевского ~ д.11 к.1 стр.п.1-2'!$D$5</definedName>
    <definedName name="_92h_F8">'Одоевского ~ д.11 к.1 стр.п.1-2'!$D$6</definedName>
    <definedName name="_92h_F9">'Одоевского ~ д.11 к.1 стр.п.1-2'!$D$7</definedName>
    <definedName name="_93h_E10">'Одоевского ~ д.11 к.2 стр.п.3-4'!$C$8</definedName>
    <definedName name="_93h_E11">'Одоевского ~ д.11 к.2 стр.п.3-4'!$C$9</definedName>
    <definedName name="_93h_E12">'Одоевского ~ д.11 к.2 стр.п.3-4'!$C$10</definedName>
    <definedName name="_93h_E13">'Одоевского ~ д.11 к.2 стр.п.3-4'!$C$11</definedName>
    <definedName name="_93h_E14">'Одоевского ~ д.11 к.2 стр.п.3-4'!$C$12</definedName>
    <definedName name="_93h_E15">'Одоевского ~ д.11 к.2 стр.п.3-4'!$C$13</definedName>
    <definedName name="_93h_E16">'Одоевского ~ д.11 к.2 стр.п.3-4'!$C$14</definedName>
    <definedName name="_93h_E17">'Одоевского ~ д.11 к.2 стр.п.3-4'!$C$15</definedName>
    <definedName name="_93h_E18">'Одоевского ~ д.11 к.2 стр.п.3-4'!$C$16</definedName>
    <definedName name="_93h_E19">'Одоевского ~ д.11 к.2 стр.п.3-4'!$C$17</definedName>
    <definedName name="_93h_E20">'Одоевского ~ д.11 к.2 стр.п.3-4'!$C$18</definedName>
    <definedName name="_93h_E21">'Одоевского ~ д.11 к.2 стр.п.3-4'!$C$19</definedName>
    <definedName name="_93h_E22">'Одоевского ~ д.11 к.2 стр.п.3-4'!$C$20</definedName>
    <definedName name="_93h_E23">'Одоевского ~ д.11 к.2 стр.п.3-4'!$C$21</definedName>
    <definedName name="_93h_E24">'Одоевского ~ д.11 к.2 стр.п.3-4'!$C$22</definedName>
    <definedName name="_93h_E25">'Одоевского ~ д.11 к.2 стр.п.3-4'!$C$23</definedName>
    <definedName name="_93h_E26">'Одоевского ~ д.11 к.2 стр.п.3-4'!$C$24</definedName>
    <definedName name="_93h_E27">'Одоевского ~ д.11 к.2 стр.п.3-4'!$C$25</definedName>
    <definedName name="_93h_E28">'Одоевского ~ д.11 к.2 стр.п.3-4'!$C$26</definedName>
    <definedName name="_93h_E29">'Одоевского ~ д.11 к.2 стр.п.3-4'!$C$27</definedName>
    <definedName name="_93h_E30">'Одоевского ~ д.11 к.2 стр.п.3-4'!$C$28</definedName>
    <definedName name="_93h_E31">'Одоевского ~ д.11 к.2 стр.п.3-4'!$C$29</definedName>
    <definedName name="_93h_E32">'Одоевского ~ д.11 к.2 стр.п.3-4'!$C$30</definedName>
    <definedName name="_93h_E33">'Одоевского ~ д.11 к.2 стр.п.3-4'!$C$31</definedName>
    <definedName name="_93h_E34">'Одоевского ~ д.11 к.2 стр.п.3-4'!$C$32</definedName>
    <definedName name="_93h_E35">'Одоевского ~ д.11 к.2 стр.п.3-4'!$C$33</definedName>
    <definedName name="_93h_E36">'Одоевского ~ д.11 к.2 стр.п.3-4'!$C$34</definedName>
    <definedName name="_93h_E37">'Одоевского ~ д.11 к.2 стр.п.3-4'!$C$35</definedName>
    <definedName name="_93h_E38">'Одоевского ~ д.11 к.2 стр.п.3-4'!$C$36</definedName>
    <definedName name="_93h_E39">'Одоевского ~ д.11 к.2 стр.п.3-4'!$C$37</definedName>
    <definedName name="_93h_E40">'Одоевского ~ д.11 к.2 стр.п.3-4'!$C$38</definedName>
    <definedName name="_93h_E41">'Одоевского ~ д.11 к.2 стр.п.3-4'!$C$39</definedName>
    <definedName name="_93h_E42">'Одоевского ~ д.11 к.2 стр.п.3-4'!$C$40</definedName>
    <definedName name="_93h_E43">'Одоевского ~ д.11 к.2 стр.п.3-4'!$C$41</definedName>
    <definedName name="_93h_E44">'Одоевского ~ д.11 к.2 стр.п.3-4'!$C$42</definedName>
    <definedName name="_93h_E45">'Одоевского ~ д.11 к.2 стр.п.3-4'!$C$43</definedName>
    <definedName name="_93h_E46">'Одоевского ~ д.11 к.2 стр.п.3-4'!$C$44</definedName>
    <definedName name="_93h_E47">'Одоевского ~ д.11 к.2 стр.п.3-4'!$C$45</definedName>
    <definedName name="_93h_E48">'Одоевского ~ д.11 к.2 стр.п.3-4'!$C$46</definedName>
    <definedName name="_93h_E49">'Одоевского ~ д.11 к.2 стр.п.3-4'!$C$47</definedName>
    <definedName name="_93h_E50">'Одоевского ~ д.11 к.2 стр.п.3-4'!$C$48</definedName>
    <definedName name="_93h_E51">'Одоевского ~ д.11 к.2 стр.п.3-4'!$C$49</definedName>
    <definedName name="_93h_E52">'Одоевского ~ д.11 к.2 стр.п.3-4'!#REF!</definedName>
    <definedName name="_93h_E53">'Одоевского ~ д.11 к.2 стр.п.3-4'!$C$50</definedName>
    <definedName name="_93h_E54">'Одоевского ~ д.11 к.2 стр.п.3-4'!$C$51</definedName>
    <definedName name="_93h_E55">'Одоевского ~ д.11 к.2 стр.п.3-4'!$C$52</definedName>
    <definedName name="_93h_E56">'Одоевского ~ д.11 к.2 стр.п.3-4'!$C$53</definedName>
    <definedName name="_93h_E57">'Одоевского ~ д.11 к.2 стр.п.3-4'!$C$54</definedName>
    <definedName name="_93h_E58">'Одоевского ~ д.11 к.2 стр.п.3-4'!$C$55</definedName>
    <definedName name="_93h_E59">'Одоевского ~ д.11 к.2 стр.п.3-4'!$C$56</definedName>
    <definedName name="_93h_E60">'Одоевского ~ д.11 к.2 стр.п.3-4'!$C$57</definedName>
    <definedName name="_93h_E61">'Одоевского ~ д.11 к.2 стр.п.3-4'!$C$58</definedName>
    <definedName name="_93h_E62">'Одоевского ~ д.11 к.2 стр.п.3-4'!$C$59</definedName>
    <definedName name="_93h_E63">'Одоевского ~ д.11 к.2 стр.п.3-4'!#REF!</definedName>
    <definedName name="_93h_E64">'Одоевского ~ д.11 к.2 стр.п.3-4'!$C$60</definedName>
    <definedName name="_93h_E65">'Одоевского ~ д.11 к.2 стр.п.3-4'!$C$61</definedName>
    <definedName name="_93h_E7">'Одоевского ~ д.11 к.2 стр.п.3-4'!$C$5</definedName>
    <definedName name="_93h_E8">'Одоевского ~ д.11 к.2 стр.п.3-4'!$C$6</definedName>
    <definedName name="_93h_E9">'Одоевского ~ д.11 к.2 стр.п.3-4'!$C$7</definedName>
    <definedName name="_93h_F10">'Одоевского ~ д.11 к.2 стр.п.3-4'!$D$8</definedName>
    <definedName name="_93h_F11">'Одоевского ~ д.11 к.2 стр.п.3-4'!$D$9</definedName>
    <definedName name="_93h_F12">'Одоевского ~ д.11 к.2 стр.п.3-4'!$D$10</definedName>
    <definedName name="_93h_F13">'Одоевского ~ д.11 к.2 стр.п.3-4'!$D$11</definedName>
    <definedName name="_93h_F14">'Одоевского ~ д.11 к.2 стр.п.3-4'!$D$12</definedName>
    <definedName name="_93h_F15">'Одоевского ~ д.11 к.2 стр.п.3-4'!$D$13</definedName>
    <definedName name="_93h_F16">'Одоевского ~ д.11 к.2 стр.п.3-4'!$D$14</definedName>
    <definedName name="_93h_F17">'Одоевского ~ д.11 к.2 стр.п.3-4'!$D$15</definedName>
    <definedName name="_93h_F18">'Одоевского ~ д.11 к.2 стр.п.3-4'!$D$16</definedName>
    <definedName name="_93h_F19">'Одоевского ~ д.11 к.2 стр.п.3-4'!$D$17</definedName>
    <definedName name="_93h_F20">'Одоевского ~ д.11 к.2 стр.п.3-4'!$D$18</definedName>
    <definedName name="_93h_F21">'Одоевского ~ д.11 к.2 стр.п.3-4'!$D$19</definedName>
    <definedName name="_93h_F22">'Одоевского ~ д.11 к.2 стр.п.3-4'!$D$20</definedName>
    <definedName name="_93h_F23">'Одоевского ~ д.11 к.2 стр.п.3-4'!$D$21</definedName>
    <definedName name="_93h_F24">'Одоевского ~ д.11 к.2 стр.п.3-4'!$D$22</definedName>
    <definedName name="_93h_F25">'Одоевского ~ д.11 к.2 стр.п.3-4'!$D$23</definedName>
    <definedName name="_93h_F26">'Одоевского ~ д.11 к.2 стр.п.3-4'!$D$24</definedName>
    <definedName name="_93h_F27">'Одоевского ~ д.11 к.2 стр.п.3-4'!$D$25</definedName>
    <definedName name="_93h_F28">'Одоевского ~ д.11 к.2 стр.п.3-4'!$D$26</definedName>
    <definedName name="_93h_F29">'Одоевского ~ д.11 к.2 стр.п.3-4'!$D$27</definedName>
    <definedName name="_93h_F30">'Одоевского ~ д.11 к.2 стр.п.3-4'!$D$28</definedName>
    <definedName name="_93h_F31">'Одоевского ~ д.11 к.2 стр.п.3-4'!$D$29</definedName>
    <definedName name="_93h_F32">'Одоевского ~ д.11 к.2 стр.п.3-4'!$D$30</definedName>
    <definedName name="_93h_F33">'Одоевского ~ д.11 к.2 стр.п.3-4'!$D$31</definedName>
    <definedName name="_93h_F34">'Одоевского ~ д.11 к.2 стр.п.3-4'!$D$32</definedName>
    <definedName name="_93h_F35">'Одоевского ~ д.11 к.2 стр.п.3-4'!$D$33</definedName>
    <definedName name="_93h_F36">'Одоевского ~ д.11 к.2 стр.п.3-4'!$D$34</definedName>
    <definedName name="_93h_F37">'Одоевского ~ д.11 к.2 стр.п.3-4'!$D$35</definedName>
    <definedName name="_93h_F38">'Одоевского ~ д.11 к.2 стр.п.3-4'!$D$36</definedName>
    <definedName name="_93h_F39">'Одоевского ~ д.11 к.2 стр.п.3-4'!$D$37</definedName>
    <definedName name="_93h_F40">'Одоевского ~ д.11 к.2 стр.п.3-4'!$D$38</definedName>
    <definedName name="_93h_F41">'Одоевского ~ д.11 к.2 стр.п.3-4'!$D$39</definedName>
    <definedName name="_93h_F42">'Одоевского ~ д.11 к.2 стр.п.3-4'!$D$40</definedName>
    <definedName name="_93h_F43">'Одоевского ~ д.11 к.2 стр.п.3-4'!$D$41</definedName>
    <definedName name="_93h_F44">'Одоевского ~ д.11 к.2 стр.п.3-4'!$D$42</definedName>
    <definedName name="_93h_F45">'Одоевского ~ д.11 к.2 стр.п.3-4'!$D$43</definedName>
    <definedName name="_93h_F46">'Одоевского ~ д.11 к.2 стр.п.3-4'!$D$44</definedName>
    <definedName name="_93h_F47">'Одоевского ~ д.11 к.2 стр.п.3-4'!$D$45</definedName>
    <definedName name="_93h_F48">'Одоевского ~ д.11 к.2 стр.п.3-4'!$D$46</definedName>
    <definedName name="_93h_F49">'Одоевского ~ д.11 к.2 стр.п.3-4'!$D$47</definedName>
    <definedName name="_93h_F50">'Одоевского ~ д.11 к.2 стр.п.3-4'!$D$48</definedName>
    <definedName name="_93h_F51">'Одоевского ~ д.11 к.2 стр.п.3-4'!$D$49</definedName>
    <definedName name="_93h_F52">'Одоевского ~ д.11 к.2 стр.п.3-4'!#REF!</definedName>
    <definedName name="_93h_F53">'Одоевского ~ д.11 к.2 стр.п.3-4'!$D$50</definedName>
    <definedName name="_93h_F54">'Одоевского ~ д.11 к.2 стр.п.3-4'!$D$51</definedName>
    <definedName name="_93h_F55">'Одоевского ~ д.11 к.2 стр.п.3-4'!$D$52</definedName>
    <definedName name="_93h_F56">'Одоевского ~ д.11 к.2 стр.п.3-4'!$D$53</definedName>
    <definedName name="_93h_F57">'Одоевского ~ д.11 к.2 стр.п.3-4'!$D$54</definedName>
    <definedName name="_93h_F58">'Одоевского ~ д.11 к.2 стр.п.3-4'!$D$55</definedName>
    <definedName name="_93h_F59">'Одоевского ~ д.11 к.2 стр.п.3-4'!$D$56</definedName>
    <definedName name="_93h_F60">'Одоевского ~ д.11 к.2 стр.п.3-4'!$D$57</definedName>
    <definedName name="_93h_F61">'Одоевского ~ д.11 к.2 стр.п.3-4'!$D$58</definedName>
    <definedName name="_93h_F62">'Одоевского ~ д.11 к.2 стр.п.3-4'!$D$59</definedName>
    <definedName name="_93h_F63">'Одоевского ~ д.11 к.2 стр.п.3-4'!#REF!</definedName>
    <definedName name="_93h_F64">'Одоевского ~ д.11 к.2 стр.п.3-4'!$D$60</definedName>
    <definedName name="_93h_F65">'Одоевского ~ д.11 к.2 стр.п.3-4'!$D$61</definedName>
    <definedName name="_93h_F7">'Одоевского ~ д.11 к.2 стр.п.3-4'!$D$5</definedName>
    <definedName name="_93h_F8">'Одоевского ~ д.11 к.2 стр.п.3-4'!$D$6</definedName>
    <definedName name="_93h_F9">'Одоевского ~ д.11 к.2 стр.п.3-4'!$D$7</definedName>
    <definedName name="_94h_E10">'Одоевского ~ д.11 к.3 стр.п.5-6'!$C$8</definedName>
    <definedName name="_94h_E11">'Одоевского ~ д.11 к.3 стр.п.5-6'!$C$9</definedName>
    <definedName name="_94h_E12">'Одоевского ~ д.11 к.3 стр.п.5-6'!$C$10</definedName>
    <definedName name="_94h_E13">'Одоевского ~ д.11 к.3 стр.п.5-6'!$C$11</definedName>
    <definedName name="_94h_E14">'Одоевского ~ д.11 к.3 стр.п.5-6'!$C$12</definedName>
    <definedName name="_94h_E15">'Одоевского ~ д.11 к.3 стр.п.5-6'!$C$13</definedName>
    <definedName name="_94h_E16">'Одоевского ~ д.11 к.3 стр.п.5-6'!$C$14</definedName>
    <definedName name="_94h_E17">'Одоевского ~ д.11 к.3 стр.п.5-6'!$C$15</definedName>
    <definedName name="_94h_E18">'Одоевского ~ д.11 к.3 стр.п.5-6'!$C$16</definedName>
    <definedName name="_94h_E19">'Одоевского ~ д.11 к.3 стр.п.5-6'!$C$17</definedName>
    <definedName name="_94h_E20">'Одоевского ~ д.11 к.3 стр.п.5-6'!$C$18</definedName>
    <definedName name="_94h_E21">'Одоевского ~ д.11 к.3 стр.п.5-6'!$C$19</definedName>
    <definedName name="_94h_E22">'Одоевского ~ д.11 к.3 стр.п.5-6'!$C$20</definedName>
    <definedName name="_94h_E23">'Одоевского ~ д.11 к.3 стр.п.5-6'!$C$21</definedName>
    <definedName name="_94h_E24">'Одоевского ~ д.11 к.3 стр.п.5-6'!$C$22</definedName>
    <definedName name="_94h_E25">'Одоевского ~ д.11 к.3 стр.п.5-6'!$C$23</definedName>
    <definedName name="_94h_E26">'Одоевского ~ д.11 к.3 стр.п.5-6'!$C$24</definedName>
    <definedName name="_94h_E27">'Одоевского ~ д.11 к.3 стр.п.5-6'!$C$25</definedName>
    <definedName name="_94h_E28">'Одоевского ~ д.11 к.3 стр.п.5-6'!$C$26</definedName>
    <definedName name="_94h_E29">'Одоевского ~ д.11 к.3 стр.п.5-6'!$C$27</definedName>
    <definedName name="_94h_E30">'Одоевского ~ д.11 к.3 стр.п.5-6'!$C$28</definedName>
    <definedName name="_94h_E31">'Одоевского ~ д.11 к.3 стр.п.5-6'!$C$29</definedName>
    <definedName name="_94h_E32">'Одоевского ~ д.11 к.3 стр.п.5-6'!$C$30</definedName>
    <definedName name="_94h_E33">'Одоевского ~ д.11 к.3 стр.п.5-6'!$C$31</definedName>
    <definedName name="_94h_E34">'Одоевского ~ д.11 к.3 стр.п.5-6'!$C$32</definedName>
    <definedName name="_94h_E35">'Одоевского ~ д.11 к.3 стр.п.5-6'!$C$33</definedName>
    <definedName name="_94h_E36">'Одоевского ~ д.11 к.3 стр.п.5-6'!$C$34</definedName>
    <definedName name="_94h_E37">'Одоевского ~ д.11 к.3 стр.п.5-6'!$C$35</definedName>
    <definedName name="_94h_E38">'Одоевского ~ д.11 к.3 стр.п.5-6'!$C$36</definedName>
    <definedName name="_94h_E39">'Одоевского ~ д.11 к.3 стр.п.5-6'!$C$37</definedName>
    <definedName name="_94h_E40">'Одоевского ~ д.11 к.3 стр.п.5-6'!$C$38</definedName>
    <definedName name="_94h_E41">'Одоевского ~ д.11 к.3 стр.п.5-6'!$C$39</definedName>
    <definedName name="_94h_E42">'Одоевского ~ д.11 к.3 стр.п.5-6'!$C$40</definedName>
    <definedName name="_94h_E43">'Одоевского ~ д.11 к.3 стр.п.5-6'!$C$41</definedName>
    <definedName name="_94h_E44">'Одоевского ~ д.11 к.3 стр.п.5-6'!$C$42</definedName>
    <definedName name="_94h_E45">'Одоевского ~ д.11 к.3 стр.п.5-6'!$C$43</definedName>
    <definedName name="_94h_E46">'Одоевского ~ д.11 к.3 стр.п.5-6'!$C$44</definedName>
    <definedName name="_94h_E47">'Одоевского ~ д.11 к.3 стр.п.5-6'!$C$45</definedName>
    <definedName name="_94h_E48">'Одоевского ~ д.11 к.3 стр.п.5-6'!$C$46</definedName>
    <definedName name="_94h_E49">'Одоевского ~ д.11 к.3 стр.п.5-6'!$C$47</definedName>
    <definedName name="_94h_E50">'Одоевского ~ д.11 к.3 стр.п.5-6'!$C$48</definedName>
    <definedName name="_94h_E51">'Одоевского ~ д.11 к.3 стр.п.5-6'!$C$49</definedName>
    <definedName name="_94h_E52">'Одоевского ~ д.11 к.3 стр.п.5-6'!#REF!</definedName>
    <definedName name="_94h_E53">'Одоевского ~ д.11 к.3 стр.п.5-6'!$C$50</definedName>
    <definedName name="_94h_E54">'Одоевского ~ д.11 к.3 стр.п.5-6'!$C$51</definedName>
    <definedName name="_94h_E55">'Одоевского ~ д.11 к.3 стр.п.5-6'!$C$52</definedName>
    <definedName name="_94h_E56">'Одоевского ~ д.11 к.3 стр.п.5-6'!$C$53</definedName>
    <definedName name="_94h_E57">'Одоевского ~ д.11 к.3 стр.п.5-6'!$C$54</definedName>
    <definedName name="_94h_E58">'Одоевского ~ д.11 к.3 стр.п.5-6'!$C$55</definedName>
    <definedName name="_94h_E59">'Одоевского ~ д.11 к.3 стр.п.5-6'!$C$56</definedName>
    <definedName name="_94h_E60">'Одоевского ~ д.11 к.3 стр.п.5-6'!$C$57</definedName>
    <definedName name="_94h_E61">'Одоевского ~ д.11 к.3 стр.п.5-6'!$C$58</definedName>
    <definedName name="_94h_E62">'Одоевского ~ д.11 к.3 стр.п.5-6'!$C$59</definedName>
    <definedName name="_94h_E63">'Одоевского ~ д.11 к.3 стр.п.5-6'!#REF!</definedName>
    <definedName name="_94h_E64">'Одоевского ~ д.11 к.3 стр.п.5-6'!$C$60</definedName>
    <definedName name="_94h_E65">'Одоевского ~ д.11 к.3 стр.п.5-6'!$C$61</definedName>
    <definedName name="_94h_E7">'Одоевского ~ д.11 к.3 стр.п.5-6'!$C$5</definedName>
    <definedName name="_94h_E8">'Одоевского ~ д.11 к.3 стр.п.5-6'!$C$6</definedName>
    <definedName name="_94h_E9">'Одоевского ~ д.11 к.3 стр.п.5-6'!$C$7</definedName>
    <definedName name="_94h_F10">'Одоевского ~ д.11 к.3 стр.п.5-6'!$D$8</definedName>
    <definedName name="_94h_F11">'Одоевского ~ д.11 к.3 стр.п.5-6'!$D$9</definedName>
    <definedName name="_94h_F12">'Одоевского ~ д.11 к.3 стр.п.5-6'!$D$10</definedName>
    <definedName name="_94h_F13">'Одоевского ~ д.11 к.3 стр.п.5-6'!$D$11</definedName>
    <definedName name="_94h_F14">'Одоевского ~ д.11 к.3 стр.п.5-6'!$D$12</definedName>
    <definedName name="_94h_F15">'Одоевского ~ д.11 к.3 стр.п.5-6'!$D$13</definedName>
    <definedName name="_94h_F16">'Одоевского ~ д.11 к.3 стр.п.5-6'!$D$14</definedName>
    <definedName name="_94h_F17">'Одоевского ~ д.11 к.3 стр.п.5-6'!$D$15</definedName>
    <definedName name="_94h_F18">'Одоевского ~ д.11 к.3 стр.п.5-6'!$D$16</definedName>
    <definedName name="_94h_F19">'Одоевского ~ д.11 к.3 стр.п.5-6'!$D$17</definedName>
    <definedName name="_94h_F20">'Одоевского ~ д.11 к.3 стр.п.5-6'!$D$18</definedName>
    <definedName name="_94h_F21">'Одоевского ~ д.11 к.3 стр.п.5-6'!$D$19</definedName>
    <definedName name="_94h_F22">'Одоевского ~ д.11 к.3 стр.п.5-6'!$D$20</definedName>
    <definedName name="_94h_F23">'Одоевского ~ д.11 к.3 стр.п.5-6'!$D$21</definedName>
    <definedName name="_94h_F24">'Одоевского ~ д.11 к.3 стр.п.5-6'!$D$22</definedName>
    <definedName name="_94h_F25">'Одоевского ~ д.11 к.3 стр.п.5-6'!$D$23</definedName>
    <definedName name="_94h_F26">'Одоевского ~ д.11 к.3 стр.п.5-6'!$D$24</definedName>
    <definedName name="_94h_F27">'Одоевского ~ д.11 к.3 стр.п.5-6'!$D$25</definedName>
    <definedName name="_94h_F28">'Одоевского ~ д.11 к.3 стр.п.5-6'!$D$26</definedName>
    <definedName name="_94h_F29">'Одоевского ~ д.11 к.3 стр.п.5-6'!$D$27</definedName>
    <definedName name="_94h_F30">'Одоевского ~ д.11 к.3 стр.п.5-6'!$D$28</definedName>
    <definedName name="_94h_F31">'Одоевского ~ д.11 к.3 стр.п.5-6'!$D$29</definedName>
    <definedName name="_94h_F32">'Одоевского ~ д.11 к.3 стр.п.5-6'!$D$30</definedName>
    <definedName name="_94h_F33">'Одоевского ~ д.11 к.3 стр.п.5-6'!$D$31</definedName>
    <definedName name="_94h_F34">'Одоевского ~ д.11 к.3 стр.п.5-6'!$D$32</definedName>
    <definedName name="_94h_F35">'Одоевского ~ д.11 к.3 стр.п.5-6'!$D$33</definedName>
    <definedName name="_94h_F36">'Одоевского ~ д.11 к.3 стр.п.5-6'!$D$34</definedName>
    <definedName name="_94h_F37">'Одоевского ~ д.11 к.3 стр.п.5-6'!$D$35</definedName>
    <definedName name="_94h_F38">'Одоевского ~ д.11 к.3 стр.п.5-6'!$D$36</definedName>
    <definedName name="_94h_F39">'Одоевского ~ д.11 к.3 стр.п.5-6'!$D$37</definedName>
    <definedName name="_94h_F40">'Одоевского ~ д.11 к.3 стр.п.5-6'!$D$38</definedName>
    <definedName name="_94h_F41">'Одоевского ~ д.11 к.3 стр.п.5-6'!$D$39</definedName>
    <definedName name="_94h_F42">'Одоевского ~ д.11 к.3 стр.п.5-6'!$D$40</definedName>
    <definedName name="_94h_F43">'Одоевского ~ д.11 к.3 стр.п.5-6'!$D$41</definedName>
    <definedName name="_94h_F44">'Одоевского ~ д.11 к.3 стр.п.5-6'!$D$42</definedName>
    <definedName name="_94h_F45">'Одоевского ~ д.11 к.3 стр.п.5-6'!$D$43</definedName>
    <definedName name="_94h_F46">'Одоевского ~ д.11 к.3 стр.п.5-6'!$D$44</definedName>
    <definedName name="_94h_F47">'Одоевского ~ д.11 к.3 стр.п.5-6'!$D$45</definedName>
    <definedName name="_94h_F48">'Одоевского ~ д.11 к.3 стр.п.5-6'!$D$46</definedName>
    <definedName name="_94h_F49">'Одоевского ~ д.11 к.3 стр.п.5-6'!$D$47</definedName>
    <definedName name="_94h_F50">'Одоевского ~ д.11 к.3 стр.п.5-6'!$D$48</definedName>
    <definedName name="_94h_F51">'Одоевского ~ д.11 к.3 стр.п.5-6'!$D$49</definedName>
    <definedName name="_94h_F52">'Одоевского ~ д.11 к.3 стр.п.5-6'!#REF!</definedName>
    <definedName name="_94h_F53">'Одоевского ~ д.11 к.3 стр.п.5-6'!$D$50</definedName>
    <definedName name="_94h_F54">'Одоевского ~ д.11 к.3 стр.п.5-6'!$D$51</definedName>
    <definedName name="_94h_F55">'Одоевского ~ д.11 к.3 стр.п.5-6'!$D$52</definedName>
    <definedName name="_94h_F56">'Одоевского ~ д.11 к.3 стр.п.5-6'!$D$53</definedName>
    <definedName name="_94h_F57">'Одоевского ~ д.11 к.3 стр.п.5-6'!$D$54</definedName>
    <definedName name="_94h_F58">'Одоевского ~ д.11 к.3 стр.п.5-6'!$D$55</definedName>
    <definedName name="_94h_F59">'Одоевского ~ д.11 к.3 стр.п.5-6'!$D$56</definedName>
    <definedName name="_94h_F60">'Одоевского ~ д.11 к.3 стр.п.5-6'!$D$57</definedName>
    <definedName name="_94h_F61">'Одоевского ~ д.11 к.3 стр.п.5-6'!$D$58</definedName>
    <definedName name="_94h_F62">'Одоевского ~ д.11 к.3 стр.п.5-6'!$D$59</definedName>
    <definedName name="_94h_F63">'Одоевского ~ д.11 к.3 стр.п.5-6'!#REF!</definedName>
    <definedName name="_94h_F64">'Одоевского ~ д.11 к.3 стр.п.5-6'!$D$60</definedName>
    <definedName name="_94h_F65">'Одоевского ~ д.11 к.3 стр.п.5-6'!$D$61</definedName>
    <definedName name="_94h_F7">'Одоевского ~ д.11 к.3 стр.п.5-6'!$D$5</definedName>
    <definedName name="_94h_F8">'Одоевского ~ д.11 к.3 стр.п.5-6'!$D$6</definedName>
    <definedName name="_94h_F9">'Одоевского ~ д.11 к.3 стр.п.5-6'!$D$7</definedName>
    <definedName name="_95h_E10">'Одоевского ~ д.11 к.4 стр.п.7-8'!$C$8</definedName>
    <definedName name="_95h_E11">'Одоевского ~ д.11 к.4 стр.п.7-8'!$C$9</definedName>
    <definedName name="_95h_E12">'Одоевского ~ д.11 к.4 стр.п.7-8'!$C$10</definedName>
    <definedName name="_95h_E13">'Одоевского ~ д.11 к.4 стр.п.7-8'!$C$11</definedName>
    <definedName name="_95h_E14">'Одоевского ~ д.11 к.4 стр.п.7-8'!$C$12</definedName>
    <definedName name="_95h_E15">'Одоевского ~ д.11 к.4 стр.п.7-8'!$C$13</definedName>
    <definedName name="_95h_E16">'Одоевского ~ д.11 к.4 стр.п.7-8'!$C$14</definedName>
    <definedName name="_95h_E17">'Одоевского ~ д.11 к.4 стр.п.7-8'!$C$15</definedName>
    <definedName name="_95h_E18">'Одоевского ~ д.11 к.4 стр.п.7-8'!$C$16</definedName>
    <definedName name="_95h_E19">'Одоевского ~ д.11 к.4 стр.п.7-8'!$C$17</definedName>
    <definedName name="_95h_E20">'Одоевского ~ д.11 к.4 стр.п.7-8'!$C$18</definedName>
    <definedName name="_95h_E21">'Одоевского ~ д.11 к.4 стр.п.7-8'!$C$19</definedName>
    <definedName name="_95h_E22">'Одоевского ~ д.11 к.4 стр.п.7-8'!$C$20</definedName>
    <definedName name="_95h_E23">'Одоевского ~ д.11 к.4 стр.п.7-8'!$C$21</definedName>
    <definedName name="_95h_E24">'Одоевского ~ д.11 к.4 стр.п.7-8'!$C$22</definedName>
    <definedName name="_95h_E25">'Одоевского ~ д.11 к.4 стр.п.7-8'!$C$23</definedName>
    <definedName name="_95h_E26">'Одоевского ~ д.11 к.4 стр.п.7-8'!$C$24</definedName>
    <definedName name="_95h_E27">'Одоевского ~ д.11 к.4 стр.п.7-8'!$C$25</definedName>
    <definedName name="_95h_E28">'Одоевского ~ д.11 к.4 стр.п.7-8'!$C$26</definedName>
    <definedName name="_95h_E29">'Одоевского ~ д.11 к.4 стр.п.7-8'!$C$27</definedName>
    <definedName name="_95h_E30">'Одоевского ~ д.11 к.4 стр.п.7-8'!$C$28</definedName>
    <definedName name="_95h_E31">'Одоевского ~ д.11 к.4 стр.п.7-8'!$C$29</definedName>
    <definedName name="_95h_E32">'Одоевского ~ д.11 к.4 стр.п.7-8'!$C$30</definedName>
    <definedName name="_95h_E33">'Одоевского ~ д.11 к.4 стр.п.7-8'!$C$31</definedName>
    <definedName name="_95h_E34">'Одоевского ~ д.11 к.4 стр.п.7-8'!$C$32</definedName>
    <definedName name="_95h_E35">'Одоевского ~ д.11 к.4 стр.п.7-8'!$C$33</definedName>
    <definedName name="_95h_E36">'Одоевского ~ д.11 к.4 стр.п.7-8'!$C$34</definedName>
    <definedName name="_95h_E37">'Одоевского ~ д.11 к.4 стр.п.7-8'!$C$35</definedName>
    <definedName name="_95h_E38">'Одоевского ~ д.11 к.4 стр.п.7-8'!$C$36</definedName>
    <definedName name="_95h_E39">'Одоевского ~ д.11 к.4 стр.п.7-8'!$C$37</definedName>
    <definedName name="_95h_E40">'Одоевского ~ д.11 к.4 стр.п.7-8'!$C$38</definedName>
    <definedName name="_95h_E41">'Одоевского ~ д.11 к.4 стр.п.7-8'!$C$39</definedName>
    <definedName name="_95h_E42">'Одоевского ~ д.11 к.4 стр.п.7-8'!$C$40</definedName>
    <definedName name="_95h_E43">'Одоевского ~ д.11 к.4 стр.п.7-8'!$C$41</definedName>
    <definedName name="_95h_E44">'Одоевского ~ д.11 к.4 стр.п.7-8'!$C$42</definedName>
    <definedName name="_95h_E45">'Одоевского ~ д.11 к.4 стр.п.7-8'!$C$43</definedName>
    <definedName name="_95h_E46">'Одоевского ~ д.11 к.4 стр.п.7-8'!$C$44</definedName>
    <definedName name="_95h_E47">'Одоевского ~ д.11 к.4 стр.п.7-8'!$C$45</definedName>
    <definedName name="_95h_E48">'Одоевского ~ д.11 к.4 стр.п.7-8'!$C$46</definedName>
    <definedName name="_95h_E49">'Одоевского ~ д.11 к.4 стр.п.7-8'!$C$47</definedName>
    <definedName name="_95h_E50">'Одоевского ~ д.11 к.4 стр.п.7-8'!$C$48</definedName>
    <definedName name="_95h_E51">'Одоевского ~ д.11 к.4 стр.п.7-8'!$C$49</definedName>
    <definedName name="_95h_E52">'Одоевского ~ д.11 к.4 стр.п.7-8'!#REF!</definedName>
    <definedName name="_95h_E53">'Одоевского ~ д.11 к.4 стр.п.7-8'!$C$50</definedName>
    <definedName name="_95h_E54">'Одоевского ~ д.11 к.4 стр.п.7-8'!$C$51</definedName>
    <definedName name="_95h_E55">'Одоевского ~ д.11 к.4 стр.п.7-8'!$C$52</definedName>
    <definedName name="_95h_E56">'Одоевского ~ д.11 к.4 стр.п.7-8'!$C$53</definedName>
    <definedName name="_95h_E57">'Одоевского ~ д.11 к.4 стр.п.7-8'!$C$54</definedName>
    <definedName name="_95h_E58">'Одоевского ~ д.11 к.4 стр.п.7-8'!$C$55</definedName>
    <definedName name="_95h_E59">'Одоевского ~ д.11 к.4 стр.п.7-8'!$C$56</definedName>
    <definedName name="_95h_E60">'Одоевского ~ д.11 к.4 стр.п.7-8'!$C$57</definedName>
    <definedName name="_95h_E61">'Одоевского ~ д.11 к.4 стр.п.7-8'!$C$58</definedName>
    <definedName name="_95h_E62">'Одоевского ~ д.11 к.4 стр.п.7-8'!$C$59</definedName>
    <definedName name="_95h_E63">'Одоевского ~ д.11 к.4 стр.п.7-8'!#REF!</definedName>
    <definedName name="_95h_E64">'Одоевского ~ д.11 к.4 стр.п.7-8'!$C$60</definedName>
    <definedName name="_95h_E65">'Одоевского ~ д.11 к.4 стр.п.7-8'!$C$61</definedName>
    <definedName name="_95h_E7">'Одоевского ~ д.11 к.4 стр.п.7-8'!$C$5</definedName>
    <definedName name="_95h_E8">'Одоевского ~ д.11 к.4 стр.п.7-8'!$C$6</definedName>
    <definedName name="_95h_E9">'Одоевского ~ д.11 к.4 стр.п.7-8'!$C$7</definedName>
    <definedName name="_95h_F10">'Одоевского ~ д.11 к.4 стр.п.7-8'!$D$8</definedName>
    <definedName name="_95h_F11">'Одоевского ~ д.11 к.4 стр.п.7-8'!$D$9</definedName>
    <definedName name="_95h_F12">'Одоевского ~ д.11 к.4 стр.п.7-8'!$D$10</definedName>
    <definedName name="_95h_F13">'Одоевского ~ д.11 к.4 стр.п.7-8'!$D$11</definedName>
    <definedName name="_95h_F14">'Одоевского ~ д.11 к.4 стр.п.7-8'!$D$12</definedName>
    <definedName name="_95h_F15">'Одоевского ~ д.11 к.4 стр.п.7-8'!$D$13</definedName>
    <definedName name="_95h_F16">'Одоевского ~ д.11 к.4 стр.п.7-8'!$D$14</definedName>
    <definedName name="_95h_F17">'Одоевского ~ д.11 к.4 стр.п.7-8'!$D$15</definedName>
    <definedName name="_95h_F18">'Одоевского ~ д.11 к.4 стр.п.7-8'!$D$16</definedName>
    <definedName name="_95h_F19">'Одоевского ~ д.11 к.4 стр.п.7-8'!$D$17</definedName>
    <definedName name="_95h_F20">'Одоевского ~ д.11 к.4 стр.п.7-8'!$D$18</definedName>
    <definedName name="_95h_F21">'Одоевского ~ д.11 к.4 стр.п.7-8'!$D$19</definedName>
    <definedName name="_95h_F22">'Одоевского ~ д.11 к.4 стр.п.7-8'!$D$20</definedName>
    <definedName name="_95h_F23">'Одоевского ~ д.11 к.4 стр.п.7-8'!$D$21</definedName>
    <definedName name="_95h_F24">'Одоевского ~ д.11 к.4 стр.п.7-8'!$D$22</definedName>
    <definedName name="_95h_F25">'Одоевского ~ д.11 к.4 стр.п.7-8'!$D$23</definedName>
    <definedName name="_95h_F26">'Одоевского ~ д.11 к.4 стр.п.7-8'!$D$24</definedName>
    <definedName name="_95h_F27">'Одоевского ~ д.11 к.4 стр.п.7-8'!$D$25</definedName>
    <definedName name="_95h_F28">'Одоевского ~ д.11 к.4 стр.п.7-8'!$D$26</definedName>
    <definedName name="_95h_F29">'Одоевского ~ д.11 к.4 стр.п.7-8'!$D$27</definedName>
    <definedName name="_95h_F30">'Одоевского ~ д.11 к.4 стр.п.7-8'!$D$28</definedName>
    <definedName name="_95h_F31">'Одоевского ~ д.11 к.4 стр.п.7-8'!$D$29</definedName>
    <definedName name="_95h_F32">'Одоевского ~ д.11 к.4 стр.п.7-8'!$D$30</definedName>
    <definedName name="_95h_F33">'Одоевского ~ д.11 к.4 стр.п.7-8'!$D$31</definedName>
    <definedName name="_95h_F34">'Одоевского ~ д.11 к.4 стр.п.7-8'!$D$32</definedName>
    <definedName name="_95h_F35">'Одоевского ~ д.11 к.4 стр.п.7-8'!$D$33</definedName>
    <definedName name="_95h_F36">'Одоевского ~ д.11 к.4 стр.п.7-8'!$D$34</definedName>
    <definedName name="_95h_F37">'Одоевского ~ д.11 к.4 стр.п.7-8'!$D$35</definedName>
    <definedName name="_95h_F38">'Одоевского ~ д.11 к.4 стр.п.7-8'!$D$36</definedName>
    <definedName name="_95h_F39">'Одоевского ~ д.11 к.4 стр.п.7-8'!$D$37</definedName>
    <definedName name="_95h_F40">'Одоевского ~ д.11 к.4 стр.п.7-8'!$D$38</definedName>
    <definedName name="_95h_F41">'Одоевского ~ д.11 к.4 стр.п.7-8'!$D$39</definedName>
    <definedName name="_95h_F42">'Одоевского ~ д.11 к.4 стр.п.7-8'!$D$40</definedName>
    <definedName name="_95h_F43">'Одоевского ~ д.11 к.4 стр.п.7-8'!$D$41</definedName>
    <definedName name="_95h_F44">'Одоевского ~ д.11 к.4 стр.п.7-8'!$D$42</definedName>
    <definedName name="_95h_F45">'Одоевского ~ д.11 к.4 стр.п.7-8'!$D$43</definedName>
    <definedName name="_95h_F46">'Одоевского ~ д.11 к.4 стр.п.7-8'!$D$44</definedName>
    <definedName name="_95h_F47">'Одоевского ~ д.11 к.4 стр.п.7-8'!$D$45</definedName>
    <definedName name="_95h_F48">'Одоевского ~ д.11 к.4 стр.п.7-8'!$D$46</definedName>
    <definedName name="_95h_F49">'Одоевского ~ д.11 к.4 стр.п.7-8'!$D$47</definedName>
    <definedName name="_95h_F50">'Одоевского ~ д.11 к.4 стр.п.7-8'!$D$48</definedName>
    <definedName name="_95h_F51">'Одоевского ~ д.11 к.4 стр.п.7-8'!$D$49</definedName>
    <definedName name="_95h_F52">'Одоевского ~ д.11 к.4 стр.п.7-8'!#REF!</definedName>
    <definedName name="_95h_F53">'Одоевского ~ д.11 к.4 стр.п.7-8'!$D$50</definedName>
    <definedName name="_95h_F54">'Одоевского ~ д.11 к.4 стр.п.7-8'!$D$51</definedName>
    <definedName name="_95h_F55">'Одоевского ~ д.11 к.4 стр.п.7-8'!$D$52</definedName>
    <definedName name="_95h_F56">'Одоевского ~ д.11 к.4 стр.п.7-8'!$D$53</definedName>
    <definedName name="_95h_F57">'Одоевского ~ д.11 к.4 стр.п.7-8'!$D$54</definedName>
    <definedName name="_95h_F58">'Одоевского ~ д.11 к.4 стр.п.7-8'!$D$55</definedName>
    <definedName name="_95h_F59">'Одоевского ~ д.11 к.4 стр.п.7-8'!$D$56</definedName>
    <definedName name="_95h_F60">'Одоевского ~ д.11 к.4 стр.п.7-8'!$D$57</definedName>
    <definedName name="_95h_F61">'Одоевского ~ д.11 к.4 стр.п.7-8'!$D$58</definedName>
    <definedName name="_95h_F62">'Одоевского ~ д.11 к.4 стр.п.7-8'!$D$59</definedName>
    <definedName name="_95h_F63">'Одоевского ~ д.11 к.4 стр.п.7-8'!#REF!</definedName>
    <definedName name="_95h_F64">'Одоевского ~ д.11 к.4 стр.п.7-8'!$D$60</definedName>
    <definedName name="_95h_F65">'Одоевского ~ д.11 к.4 стр.п.7-8'!$D$61</definedName>
    <definedName name="_95h_F7">'Одоевского ~ д.11 к.4 стр.п.7-8'!$D$5</definedName>
    <definedName name="_95h_F8">'Одоевского ~ д.11 к.4 стр.п.7-8'!$D$6</definedName>
    <definedName name="_95h_F9">'Одоевского ~ д.11 к.4 стр.п.7-8'!$D$7</definedName>
    <definedName name="_96h_E10">'Одоевского~ д.11 к.5 стр.п.9-10'!$C$8</definedName>
    <definedName name="_96h_E11">'Одоевского~ д.11 к.5 стр.п.9-10'!$C$9</definedName>
    <definedName name="_96h_E12">'Одоевского~ д.11 к.5 стр.п.9-10'!$C$10</definedName>
    <definedName name="_96h_E13">'Одоевского~ д.11 к.5 стр.п.9-10'!$C$11</definedName>
    <definedName name="_96h_E14">'Одоевского~ д.11 к.5 стр.п.9-10'!$C$12</definedName>
    <definedName name="_96h_E15">'Одоевского~ д.11 к.5 стр.п.9-10'!$C$13</definedName>
    <definedName name="_96h_E16">'Одоевского~ д.11 к.5 стр.п.9-10'!$C$14</definedName>
    <definedName name="_96h_E17">'Одоевского~ д.11 к.5 стр.п.9-10'!$C$15</definedName>
    <definedName name="_96h_E18">'Одоевского~ д.11 к.5 стр.п.9-10'!$C$16</definedName>
    <definedName name="_96h_E19">'Одоевского~ д.11 к.5 стр.п.9-10'!$C$17</definedName>
    <definedName name="_96h_E20">'Одоевского~ д.11 к.5 стр.п.9-10'!$C$18</definedName>
    <definedName name="_96h_E21">'Одоевского~ д.11 к.5 стр.п.9-10'!$C$19</definedName>
    <definedName name="_96h_E22">'Одоевского~ д.11 к.5 стр.п.9-10'!$C$20</definedName>
    <definedName name="_96h_E23">'Одоевского~ д.11 к.5 стр.п.9-10'!$C$21</definedName>
    <definedName name="_96h_E24">'Одоевского~ д.11 к.5 стр.п.9-10'!$C$22</definedName>
    <definedName name="_96h_E25">'Одоевского~ д.11 к.5 стр.п.9-10'!$C$23</definedName>
    <definedName name="_96h_E26">'Одоевского~ д.11 к.5 стр.п.9-10'!$C$24</definedName>
    <definedName name="_96h_E27">'Одоевского~ д.11 к.5 стр.п.9-10'!$C$25</definedName>
    <definedName name="_96h_E28">'Одоевского~ д.11 к.5 стр.п.9-10'!$C$26</definedName>
    <definedName name="_96h_E29">'Одоевского~ д.11 к.5 стр.п.9-10'!$C$27</definedName>
    <definedName name="_96h_E30">'Одоевского~ д.11 к.5 стр.п.9-10'!$C$28</definedName>
    <definedName name="_96h_E31">'Одоевского~ д.11 к.5 стр.п.9-10'!$C$29</definedName>
    <definedName name="_96h_E32">'Одоевского~ д.11 к.5 стр.п.9-10'!$C$30</definedName>
    <definedName name="_96h_E33">'Одоевского~ д.11 к.5 стр.п.9-10'!$C$31</definedName>
    <definedName name="_96h_E34">'Одоевского~ д.11 к.5 стр.п.9-10'!$C$32</definedName>
    <definedName name="_96h_E35">'Одоевского~ д.11 к.5 стр.п.9-10'!$C$33</definedName>
    <definedName name="_96h_E36">'Одоевского~ д.11 к.5 стр.п.9-10'!$C$34</definedName>
    <definedName name="_96h_E37">'Одоевского~ д.11 к.5 стр.п.9-10'!$C$35</definedName>
    <definedName name="_96h_E38">'Одоевского~ д.11 к.5 стр.п.9-10'!$C$36</definedName>
    <definedName name="_96h_E39">'Одоевского~ д.11 к.5 стр.п.9-10'!$C$37</definedName>
    <definedName name="_96h_E40">'Одоевского~ д.11 к.5 стр.п.9-10'!$C$38</definedName>
    <definedName name="_96h_E41">'Одоевского~ д.11 к.5 стр.п.9-10'!$C$39</definedName>
    <definedName name="_96h_E42">'Одоевского~ д.11 к.5 стр.п.9-10'!$C$40</definedName>
    <definedName name="_96h_E43">'Одоевского~ д.11 к.5 стр.п.9-10'!$C$41</definedName>
    <definedName name="_96h_E44">'Одоевского~ д.11 к.5 стр.п.9-10'!$C$42</definedName>
    <definedName name="_96h_E45">'Одоевского~ д.11 к.5 стр.п.9-10'!$C$43</definedName>
    <definedName name="_96h_E46">'Одоевского~ д.11 к.5 стр.п.9-10'!$C$44</definedName>
    <definedName name="_96h_E47">'Одоевского~ д.11 к.5 стр.п.9-10'!$C$45</definedName>
    <definedName name="_96h_E48">'Одоевского~ д.11 к.5 стр.п.9-10'!$C$46</definedName>
    <definedName name="_96h_E49">'Одоевского~ д.11 к.5 стр.п.9-10'!$C$47</definedName>
    <definedName name="_96h_E50">'Одоевского~ д.11 к.5 стр.п.9-10'!$C$48</definedName>
    <definedName name="_96h_E51">'Одоевского~ д.11 к.5 стр.п.9-10'!$C$49</definedName>
    <definedName name="_96h_E52">'Одоевского~ д.11 к.5 стр.п.9-10'!#REF!</definedName>
    <definedName name="_96h_E53">'Одоевского~ д.11 к.5 стр.п.9-10'!$C$50</definedName>
    <definedName name="_96h_E54">'Одоевского~ д.11 к.5 стр.п.9-10'!$C$51</definedName>
    <definedName name="_96h_E55">'Одоевского~ д.11 к.5 стр.п.9-10'!$C$52</definedName>
    <definedName name="_96h_E56">'Одоевского~ д.11 к.5 стр.п.9-10'!$C$53</definedName>
    <definedName name="_96h_E57">'Одоевского~ д.11 к.5 стр.п.9-10'!$C$54</definedName>
    <definedName name="_96h_E58">'Одоевского~ д.11 к.5 стр.п.9-10'!$C$55</definedName>
    <definedName name="_96h_E59">'Одоевского~ д.11 к.5 стр.п.9-10'!$C$56</definedName>
    <definedName name="_96h_E60">'Одоевского~ д.11 к.5 стр.п.9-10'!$C$57</definedName>
    <definedName name="_96h_E61">'Одоевского~ д.11 к.5 стр.п.9-10'!$C$58</definedName>
    <definedName name="_96h_E62">'Одоевского~ д.11 к.5 стр.п.9-10'!$C$59</definedName>
    <definedName name="_96h_E63">'Одоевского~ д.11 к.5 стр.п.9-10'!#REF!</definedName>
    <definedName name="_96h_E64">'Одоевского~ д.11 к.5 стр.п.9-10'!$C$60</definedName>
    <definedName name="_96h_E65">'Одоевского~ д.11 к.5 стр.п.9-10'!$C$61</definedName>
    <definedName name="_96h_E7">'Одоевского~ д.11 к.5 стр.п.9-10'!$C$5</definedName>
    <definedName name="_96h_E8">'Одоевского~ д.11 к.5 стр.п.9-10'!$C$6</definedName>
    <definedName name="_96h_E9">'Одоевского~ д.11 к.5 стр.п.9-10'!$C$7</definedName>
    <definedName name="_96h_F10">'Одоевского~ д.11 к.5 стр.п.9-10'!$D$8</definedName>
    <definedName name="_96h_F11">'Одоевского~ д.11 к.5 стр.п.9-10'!$D$9</definedName>
    <definedName name="_96h_F12">'Одоевского~ д.11 к.5 стр.п.9-10'!$D$10</definedName>
    <definedName name="_96h_F13">'Одоевского~ д.11 к.5 стр.п.9-10'!$D$11</definedName>
    <definedName name="_96h_F14">'Одоевского~ д.11 к.5 стр.п.9-10'!$D$12</definedName>
    <definedName name="_96h_F15">'Одоевского~ д.11 к.5 стр.п.9-10'!$D$13</definedName>
    <definedName name="_96h_F16">'Одоевского~ д.11 к.5 стр.п.9-10'!$D$14</definedName>
    <definedName name="_96h_F17">'Одоевского~ д.11 к.5 стр.п.9-10'!$D$15</definedName>
    <definedName name="_96h_F18">'Одоевского~ д.11 к.5 стр.п.9-10'!$D$16</definedName>
    <definedName name="_96h_F19">'Одоевского~ д.11 к.5 стр.п.9-10'!$D$17</definedName>
    <definedName name="_96h_F20">'Одоевского~ д.11 к.5 стр.п.9-10'!$D$18</definedName>
    <definedName name="_96h_F21">'Одоевского~ д.11 к.5 стр.п.9-10'!$D$19</definedName>
    <definedName name="_96h_F22">'Одоевского~ д.11 к.5 стр.п.9-10'!$D$20</definedName>
    <definedName name="_96h_F23">'Одоевского~ д.11 к.5 стр.п.9-10'!$D$21</definedName>
    <definedName name="_96h_F24">'Одоевского~ д.11 к.5 стр.п.9-10'!$D$22</definedName>
    <definedName name="_96h_F25">'Одоевского~ д.11 к.5 стр.п.9-10'!$D$23</definedName>
    <definedName name="_96h_F26">'Одоевского~ д.11 к.5 стр.п.9-10'!$D$24</definedName>
    <definedName name="_96h_F27">'Одоевского~ д.11 к.5 стр.п.9-10'!$D$25</definedName>
    <definedName name="_96h_F28">'Одоевского~ д.11 к.5 стр.п.9-10'!$D$26</definedName>
    <definedName name="_96h_F29">'Одоевского~ д.11 к.5 стр.п.9-10'!$D$27</definedName>
    <definedName name="_96h_F30">'Одоевского~ д.11 к.5 стр.п.9-10'!$D$28</definedName>
    <definedName name="_96h_F31">'Одоевского~ д.11 к.5 стр.п.9-10'!$D$29</definedName>
    <definedName name="_96h_F32">'Одоевского~ д.11 к.5 стр.п.9-10'!$D$30</definedName>
    <definedName name="_96h_F33">'Одоевского~ д.11 к.5 стр.п.9-10'!$D$31</definedName>
    <definedName name="_96h_F34">'Одоевского~ д.11 к.5 стр.п.9-10'!$D$32</definedName>
    <definedName name="_96h_F35">'Одоевского~ д.11 к.5 стр.п.9-10'!$D$33</definedName>
    <definedName name="_96h_F36">'Одоевского~ д.11 к.5 стр.п.9-10'!$D$34</definedName>
    <definedName name="_96h_F37">'Одоевского~ д.11 к.5 стр.п.9-10'!$D$35</definedName>
    <definedName name="_96h_F38">'Одоевского~ д.11 к.5 стр.п.9-10'!$D$36</definedName>
    <definedName name="_96h_F39">'Одоевского~ д.11 к.5 стр.п.9-10'!$D$37</definedName>
    <definedName name="_96h_F40">'Одоевского~ д.11 к.5 стр.п.9-10'!$D$38</definedName>
    <definedName name="_96h_F41">'Одоевского~ д.11 к.5 стр.п.9-10'!$D$39</definedName>
    <definedName name="_96h_F42">'Одоевского~ д.11 к.5 стр.п.9-10'!$D$40</definedName>
    <definedName name="_96h_F43">'Одоевского~ д.11 к.5 стр.п.9-10'!$D$41</definedName>
    <definedName name="_96h_F44">'Одоевского~ д.11 к.5 стр.п.9-10'!$D$42</definedName>
    <definedName name="_96h_F45">'Одоевского~ д.11 к.5 стр.п.9-10'!$D$43</definedName>
    <definedName name="_96h_F46">'Одоевского~ д.11 к.5 стр.п.9-10'!$D$44</definedName>
    <definedName name="_96h_F47">'Одоевского~ д.11 к.5 стр.п.9-10'!$D$45</definedName>
    <definedName name="_96h_F48">'Одоевского~ д.11 к.5 стр.п.9-10'!$D$46</definedName>
    <definedName name="_96h_F49">'Одоевского~ д.11 к.5 стр.п.9-10'!$D$47</definedName>
    <definedName name="_96h_F50">'Одоевского~ д.11 к.5 стр.п.9-10'!$D$48</definedName>
    <definedName name="_96h_F51">'Одоевского~ д.11 к.5 стр.п.9-10'!$D$49</definedName>
    <definedName name="_96h_F52">'Одоевского~ д.11 к.5 стр.п.9-10'!#REF!</definedName>
    <definedName name="_96h_F53">'Одоевского~ д.11 к.5 стр.п.9-10'!$D$50</definedName>
    <definedName name="_96h_F54">'Одоевского~ д.11 к.5 стр.п.9-10'!$D$51</definedName>
    <definedName name="_96h_F55">'Одоевского~ д.11 к.5 стр.п.9-10'!$D$52</definedName>
    <definedName name="_96h_F56">'Одоевского~ д.11 к.5 стр.п.9-10'!$D$53</definedName>
    <definedName name="_96h_F57">'Одоевского~ д.11 к.5 стр.п.9-10'!$D$54</definedName>
    <definedName name="_96h_F58">'Одоевского~ д.11 к.5 стр.п.9-10'!$D$55</definedName>
    <definedName name="_96h_F59">'Одоевского~ д.11 к.5 стр.п.9-10'!$D$56</definedName>
    <definedName name="_96h_F60">'Одоевского~ д.11 к.5 стр.п.9-10'!$D$57</definedName>
    <definedName name="_96h_F61">'Одоевского~ д.11 к.5 стр.п.9-10'!$D$58</definedName>
    <definedName name="_96h_F62">'Одоевского~ д.11 к.5 стр.п.9-10'!$D$59</definedName>
    <definedName name="_96h_F63">'Одоевского~ д.11 к.5 стр.п.9-10'!#REF!</definedName>
    <definedName name="_96h_F64">'Одоевского~ д.11 к.5 стр.п.9-10'!$D$60</definedName>
    <definedName name="_96h_F65">'Одоевского~ д.11 к.5 стр.п.9-10'!$D$61</definedName>
    <definedName name="_96h_F7">'Одоевского~ д.11 к.5 стр.п.9-10'!$D$5</definedName>
    <definedName name="_96h_F8">'Одоевского~ д.11 к.5 стр.п.9-10'!$D$6</definedName>
    <definedName name="_96h_F9">'Одоевского~ д.11 к.5 стр.п.9-10'!$D$7</definedName>
    <definedName name="_97h_E10">'Одоевског~ д.11 к.6 стр.п.11-12'!$C$8</definedName>
    <definedName name="_97h_E11">'Одоевског~ д.11 к.6 стр.п.11-12'!$C$9</definedName>
    <definedName name="_97h_E12">'Одоевског~ д.11 к.6 стр.п.11-12'!$C$10</definedName>
    <definedName name="_97h_E13">'Одоевског~ д.11 к.6 стр.п.11-12'!$C$11</definedName>
    <definedName name="_97h_E14">'Одоевског~ д.11 к.6 стр.п.11-12'!$C$12</definedName>
    <definedName name="_97h_E15">'Одоевског~ д.11 к.6 стр.п.11-12'!$C$13</definedName>
    <definedName name="_97h_E16">'Одоевског~ д.11 к.6 стр.п.11-12'!$C$14</definedName>
    <definedName name="_97h_E17">'Одоевског~ д.11 к.6 стр.п.11-12'!$C$15</definedName>
    <definedName name="_97h_E18">'Одоевског~ д.11 к.6 стр.п.11-12'!$C$16</definedName>
    <definedName name="_97h_E19">'Одоевског~ д.11 к.6 стр.п.11-12'!$C$17</definedName>
    <definedName name="_97h_E20">'Одоевског~ д.11 к.6 стр.п.11-12'!$C$18</definedName>
    <definedName name="_97h_E21">'Одоевског~ д.11 к.6 стр.п.11-12'!$C$19</definedName>
    <definedName name="_97h_E22">'Одоевског~ д.11 к.6 стр.п.11-12'!$C$20</definedName>
    <definedName name="_97h_E23">'Одоевског~ д.11 к.6 стр.п.11-12'!$C$21</definedName>
    <definedName name="_97h_E24">'Одоевског~ д.11 к.6 стр.п.11-12'!$C$22</definedName>
    <definedName name="_97h_E25">'Одоевског~ д.11 к.6 стр.п.11-12'!$C$23</definedName>
    <definedName name="_97h_E26">'Одоевског~ д.11 к.6 стр.п.11-12'!$C$24</definedName>
    <definedName name="_97h_E27">'Одоевског~ д.11 к.6 стр.п.11-12'!$C$25</definedName>
    <definedName name="_97h_E28">'Одоевског~ д.11 к.6 стр.п.11-12'!$C$26</definedName>
    <definedName name="_97h_E29">'Одоевског~ д.11 к.6 стр.п.11-12'!$C$27</definedName>
    <definedName name="_97h_E30">'Одоевског~ д.11 к.6 стр.п.11-12'!$C$28</definedName>
    <definedName name="_97h_E31">'Одоевског~ д.11 к.6 стр.п.11-12'!$C$29</definedName>
    <definedName name="_97h_E32">'Одоевског~ д.11 к.6 стр.п.11-12'!$C$30</definedName>
    <definedName name="_97h_E33">'Одоевског~ д.11 к.6 стр.п.11-12'!$C$31</definedName>
    <definedName name="_97h_E34">'Одоевског~ д.11 к.6 стр.п.11-12'!$C$32</definedName>
    <definedName name="_97h_E35">'Одоевског~ д.11 к.6 стр.п.11-12'!$C$33</definedName>
    <definedName name="_97h_E36">'Одоевског~ д.11 к.6 стр.п.11-12'!$C$34</definedName>
    <definedName name="_97h_E37">'Одоевског~ д.11 к.6 стр.п.11-12'!$C$35</definedName>
    <definedName name="_97h_E38">'Одоевског~ д.11 к.6 стр.п.11-12'!$C$36</definedName>
    <definedName name="_97h_E39">'Одоевског~ д.11 к.6 стр.п.11-12'!$C$37</definedName>
    <definedName name="_97h_E40">'Одоевског~ д.11 к.6 стр.п.11-12'!$C$38</definedName>
    <definedName name="_97h_E41">'Одоевског~ д.11 к.6 стр.п.11-12'!$C$39</definedName>
    <definedName name="_97h_E42">'Одоевског~ д.11 к.6 стр.п.11-12'!$C$40</definedName>
    <definedName name="_97h_E43">'Одоевског~ д.11 к.6 стр.п.11-12'!$C$41</definedName>
    <definedName name="_97h_E44">'Одоевског~ д.11 к.6 стр.п.11-12'!$C$42</definedName>
    <definedName name="_97h_E45">'Одоевског~ д.11 к.6 стр.п.11-12'!$C$43</definedName>
    <definedName name="_97h_E46">'Одоевског~ д.11 к.6 стр.п.11-12'!$C$44</definedName>
    <definedName name="_97h_E47">'Одоевског~ д.11 к.6 стр.п.11-12'!$C$45</definedName>
    <definedName name="_97h_E48">'Одоевског~ д.11 к.6 стр.п.11-12'!$C$46</definedName>
    <definedName name="_97h_E49">'Одоевског~ д.11 к.6 стр.п.11-12'!$C$47</definedName>
    <definedName name="_97h_E50">'Одоевског~ д.11 к.6 стр.п.11-12'!$C$48</definedName>
    <definedName name="_97h_E51">'Одоевског~ д.11 к.6 стр.п.11-12'!$C$49</definedName>
    <definedName name="_97h_E52">'Одоевског~ д.11 к.6 стр.п.11-12'!#REF!</definedName>
    <definedName name="_97h_E53">'Одоевског~ д.11 к.6 стр.п.11-12'!$C$50</definedName>
    <definedName name="_97h_E54">'Одоевског~ д.11 к.6 стр.п.11-12'!$C$51</definedName>
    <definedName name="_97h_E55">'Одоевског~ д.11 к.6 стр.п.11-12'!$C$52</definedName>
    <definedName name="_97h_E56">'Одоевског~ д.11 к.6 стр.п.11-12'!$C$53</definedName>
    <definedName name="_97h_E57">'Одоевског~ д.11 к.6 стр.п.11-12'!$C$54</definedName>
    <definedName name="_97h_E58">'Одоевског~ д.11 к.6 стр.п.11-12'!$C$55</definedName>
    <definedName name="_97h_E59">'Одоевског~ д.11 к.6 стр.п.11-12'!$C$56</definedName>
    <definedName name="_97h_E60">'Одоевског~ д.11 к.6 стр.п.11-12'!$C$57</definedName>
    <definedName name="_97h_E61">'Одоевског~ д.11 к.6 стр.п.11-12'!$C$58</definedName>
    <definedName name="_97h_E62">'Одоевског~ д.11 к.6 стр.п.11-12'!$C$59</definedName>
    <definedName name="_97h_E63">'Одоевског~ д.11 к.6 стр.п.11-12'!#REF!</definedName>
    <definedName name="_97h_E64">'Одоевског~ д.11 к.6 стр.п.11-12'!$C$60</definedName>
    <definedName name="_97h_E65">'Одоевског~ д.11 к.6 стр.п.11-12'!$C$61</definedName>
    <definedName name="_97h_E7">'Одоевског~ д.11 к.6 стр.п.11-12'!$C$5</definedName>
    <definedName name="_97h_E8">'Одоевског~ д.11 к.6 стр.п.11-12'!$C$6</definedName>
    <definedName name="_97h_E9">'Одоевског~ д.11 к.6 стр.п.11-12'!$C$7</definedName>
    <definedName name="_97h_F10">'Одоевског~ д.11 к.6 стр.п.11-12'!$D$8</definedName>
    <definedName name="_97h_F11">'Одоевског~ д.11 к.6 стр.п.11-12'!$D$9</definedName>
    <definedName name="_97h_F12">'Одоевског~ д.11 к.6 стр.п.11-12'!$D$10</definedName>
    <definedName name="_97h_F13">'Одоевског~ д.11 к.6 стр.п.11-12'!$D$11</definedName>
    <definedName name="_97h_F14">'Одоевског~ д.11 к.6 стр.п.11-12'!$D$12</definedName>
    <definedName name="_97h_F15">'Одоевског~ д.11 к.6 стр.п.11-12'!$D$13</definedName>
    <definedName name="_97h_F16">'Одоевског~ д.11 к.6 стр.п.11-12'!$D$14</definedName>
    <definedName name="_97h_F17">'Одоевског~ д.11 к.6 стр.п.11-12'!$D$15</definedName>
    <definedName name="_97h_F18">'Одоевског~ д.11 к.6 стр.п.11-12'!$D$16</definedName>
    <definedName name="_97h_F19">'Одоевског~ д.11 к.6 стр.п.11-12'!$D$17</definedName>
    <definedName name="_97h_F20">'Одоевског~ д.11 к.6 стр.п.11-12'!$D$18</definedName>
    <definedName name="_97h_F21">'Одоевског~ д.11 к.6 стр.п.11-12'!$D$19</definedName>
    <definedName name="_97h_F22">'Одоевског~ д.11 к.6 стр.п.11-12'!$D$20</definedName>
    <definedName name="_97h_F23">'Одоевског~ д.11 к.6 стр.п.11-12'!$D$21</definedName>
    <definedName name="_97h_F24">'Одоевског~ д.11 к.6 стр.п.11-12'!$D$22</definedName>
    <definedName name="_97h_F25">'Одоевског~ д.11 к.6 стр.п.11-12'!$D$23</definedName>
    <definedName name="_97h_F26">'Одоевског~ д.11 к.6 стр.п.11-12'!$D$24</definedName>
    <definedName name="_97h_F27">'Одоевског~ д.11 к.6 стр.п.11-12'!$D$25</definedName>
    <definedName name="_97h_F28">'Одоевског~ д.11 к.6 стр.п.11-12'!$D$26</definedName>
    <definedName name="_97h_F29">'Одоевског~ д.11 к.6 стр.п.11-12'!$D$27</definedName>
    <definedName name="_97h_F30">'Одоевског~ д.11 к.6 стр.п.11-12'!$D$28</definedName>
    <definedName name="_97h_F31">'Одоевског~ д.11 к.6 стр.п.11-12'!$D$29</definedName>
    <definedName name="_97h_F32">'Одоевског~ д.11 к.6 стр.п.11-12'!$D$30</definedName>
    <definedName name="_97h_F33">'Одоевског~ д.11 к.6 стр.п.11-12'!$D$31</definedName>
    <definedName name="_97h_F34">'Одоевског~ д.11 к.6 стр.п.11-12'!$D$32</definedName>
    <definedName name="_97h_F35">'Одоевског~ д.11 к.6 стр.п.11-12'!$D$33</definedName>
    <definedName name="_97h_F36">'Одоевског~ д.11 к.6 стр.п.11-12'!$D$34</definedName>
    <definedName name="_97h_F37">'Одоевског~ д.11 к.6 стр.п.11-12'!$D$35</definedName>
    <definedName name="_97h_F38">'Одоевског~ д.11 к.6 стр.п.11-12'!$D$36</definedName>
    <definedName name="_97h_F39">'Одоевског~ д.11 к.6 стр.п.11-12'!$D$37</definedName>
    <definedName name="_97h_F40">'Одоевског~ д.11 к.6 стр.п.11-12'!$D$38</definedName>
    <definedName name="_97h_F41">'Одоевског~ д.11 к.6 стр.п.11-12'!$D$39</definedName>
    <definedName name="_97h_F42">'Одоевског~ д.11 к.6 стр.п.11-12'!$D$40</definedName>
    <definedName name="_97h_F43">'Одоевског~ д.11 к.6 стр.п.11-12'!$D$41</definedName>
    <definedName name="_97h_F44">'Одоевског~ д.11 к.6 стр.п.11-12'!$D$42</definedName>
    <definedName name="_97h_F45">'Одоевског~ д.11 к.6 стр.п.11-12'!$D$43</definedName>
    <definedName name="_97h_F46">'Одоевског~ д.11 к.6 стр.п.11-12'!$D$44</definedName>
    <definedName name="_97h_F47">'Одоевског~ д.11 к.6 стр.п.11-12'!$D$45</definedName>
    <definedName name="_97h_F48">'Одоевског~ д.11 к.6 стр.п.11-12'!$D$46</definedName>
    <definedName name="_97h_F49">'Одоевског~ д.11 к.6 стр.п.11-12'!$D$47</definedName>
    <definedName name="_97h_F50">'Одоевског~ д.11 к.6 стр.п.11-12'!$D$48</definedName>
    <definedName name="_97h_F51">'Одоевског~ д.11 к.6 стр.п.11-12'!$D$49</definedName>
    <definedName name="_97h_F52">'Одоевског~ д.11 к.6 стр.п.11-12'!#REF!</definedName>
    <definedName name="_97h_F53">'Одоевског~ д.11 к.6 стр.п.11-12'!$D$50</definedName>
    <definedName name="_97h_F54">'Одоевског~ д.11 к.6 стр.п.11-12'!$D$51</definedName>
    <definedName name="_97h_F55">'Одоевског~ д.11 к.6 стр.п.11-12'!$D$52</definedName>
    <definedName name="_97h_F56">'Одоевског~ д.11 к.6 стр.п.11-12'!$D$53</definedName>
    <definedName name="_97h_F57">'Одоевског~ д.11 к.6 стр.п.11-12'!$D$54</definedName>
    <definedName name="_97h_F58">'Одоевског~ д.11 к.6 стр.п.11-12'!$D$55</definedName>
    <definedName name="_97h_F59">'Одоевског~ д.11 к.6 стр.п.11-12'!$D$56</definedName>
    <definedName name="_97h_F60">'Одоевског~ д.11 к.6 стр.п.11-12'!$D$57</definedName>
    <definedName name="_97h_F61">'Одоевског~ д.11 к.6 стр.п.11-12'!$D$58</definedName>
    <definedName name="_97h_F62">'Одоевског~ д.11 к.6 стр.п.11-12'!$D$59</definedName>
    <definedName name="_97h_F63">'Одоевског~ д.11 к.6 стр.п.11-12'!#REF!</definedName>
    <definedName name="_97h_F64">'Одоевског~ д.11 к.6 стр.п.11-12'!$D$60</definedName>
    <definedName name="_97h_F65">'Одоевског~ д.11 к.6 стр.п.11-12'!$D$61</definedName>
    <definedName name="_97h_F7">'Одоевског~ д.11 к.6 стр.п.11-12'!$D$5</definedName>
    <definedName name="_97h_F8">'Одоевског~ д.11 к.6 стр.п.11-12'!$D$6</definedName>
    <definedName name="_97h_F9">'Одоевског~ д.11 к.6 стр.п.11-12'!$D$7</definedName>
    <definedName name="_98h_E10">'Пау~д.3 стр.п.п.1-2,8-11,17-18'!$C$8</definedName>
    <definedName name="_98h_E11">'Пау~д.3 стр.п.п.1-2,8-11,17-18'!$C$9</definedName>
    <definedName name="_98h_E12">'Пау~д.3 стр.п.п.1-2,8-11,17-18'!$C$10</definedName>
    <definedName name="_98h_E13">'Пау~д.3 стр.п.п.1-2,8-11,17-18'!$C$11</definedName>
    <definedName name="_98h_E14">'Пау~д.3 стр.п.п.1-2,8-11,17-18'!$C$12</definedName>
    <definedName name="_98h_E15">'Пау~д.3 стр.п.п.1-2,8-11,17-18'!$C$13</definedName>
    <definedName name="_98h_E16">'Пау~д.3 стр.п.п.1-2,8-11,17-18'!$C$14</definedName>
    <definedName name="_98h_E17">'Пау~д.3 стр.п.п.1-2,8-11,17-18'!$C$15</definedName>
    <definedName name="_98h_E18">'Пау~д.3 стр.п.п.1-2,8-11,17-18'!$C$16</definedName>
    <definedName name="_98h_E19">'Пау~д.3 стр.п.п.1-2,8-11,17-18'!$C$17</definedName>
    <definedName name="_98h_E20">'Пау~д.3 стр.п.п.1-2,8-11,17-18'!$C$18</definedName>
    <definedName name="_98h_E21">'Пау~д.3 стр.п.п.1-2,8-11,17-18'!$C$19</definedName>
    <definedName name="_98h_E22">'Пау~д.3 стр.п.п.1-2,8-11,17-18'!$C$20</definedName>
    <definedName name="_98h_E23">'Пау~д.3 стр.п.п.1-2,8-11,17-18'!$C$21</definedName>
    <definedName name="_98h_E24">'Пау~д.3 стр.п.п.1-2,8-11,17-18'!$C$22</definedName>
    <definedName name="_98h_E25">'Пау~д.3 стр.п.п.1-2,8-11,17-18'!$C$23</definedName>
    <definedName name="_98h_E26">'Пау~д.3 стр.п.п.1-2,8-11,17-18'!$C$24</definedName>
    <definedName name="_98h_E27">'Пау~д.3 стр.п.п.1-2,8-11,17-18'!$C$25</definedName>
    <definedName name="_98h_E28">'Пау~д.3 стр.п.п.1-2,8-11,17-18'!$C$26</definedName>
    <definedName name="_98h_E29">'Пау~д.3 стр.п.п.1-2,8-11,17-18'!$C$27</definedName>
    <definedName name="_98h_E30">'Пау~д.3 стр.п.п.1-2,8-11,17-18'!$C$28</definedName>
    <definedName name="_98h_E31">'Пау~д.3 стр.п.п.1-2,8-11,17-18'!$C$29</definedName>
    <definedName name="_98h_E32">'Пау~д.3 стр.п.п.1-2,8-11,17-18'!$C$30</definedName>
    <definedName name="_98h_E33">'Пау~д.3 стр.п.п.1-2,8-11,17-18'!$C$31</definedName>
    <definedName name="_98h_E34">'Пау~д.3 стр.п.п.1-2,8-11,17-18'!$C$32</definedName>
    <definedName name="_98h_E35">'Пау~д.3 стр.п.п.1-2,8-11,17-18'!$C$33</definedName>
    <definedName name="_98h_E36">'Пау~д.3 стр.п.п.1-2,8-11,17-18'!$C$34</definedName>
    <definedName name="_98h_E37">'Пау~д.3 стр.п.п.1-2,8-11,17-18'!$C$35</definedName>
    <definedName name="_98h_E38">'Пау~д.3 стр.п.п.1-2,8-11,17-18'!$C$36</definedName>
    <definedName name="_98h_E39">'Пау~д.3 стр.п.п.1-2,8-11,17-18'!$C$37</definedName>
    <definedName name="_98h_E40">'Пау~д.3 стр.п.п.1-2,8-11,17-18'!$C$38</definedName>
    <definedName name="_98h_E41">'Пау~д.3 стр.п.п.1-2,8-11,17-18'!$C$39</definedName>
    <definedName name="_98h_E42">'Пау~д.3 стр.п.п.1-2,8-11,17-18'!$C$40</definedName>
    <definedName name="_98h_E43">'Пау~д.3 стр.п.п.1-2,8-11,17-18'!$C$41</definedName>
    <definedName name="_98h_E44">'Пау~д.3 стр.п.п.1-2,8-11,17-18'!$C$42</definedName>
    <definedName name="_98h_E45">'Пау~д.3 стр.п.п.1-2,8-11,17-18'!$C$43</definedName>
    <definedName name="_98h_E46">'Пау~д.3 стр.п.п.1-2,8-11,17-18'!$C$44</definedName>
    <definedName name="_98h_E47">'Пау~д.3 стр.п.п.1-2,8-11,17-18'!$C$45</definedName>
    <definedName name="_98h_E48">'Пау~д.3 стр.п.п.1-2,8-11,17-18'!$C$46</definedName>
    <definedName name="_98h_E49">'Пау~д.3 стр.п.п.1-2,8-11,17-18'!$C$47</definedName>
    <definedName name="_98h_E50">'Пау~д.3 стр.п.п.1-2,8-11,17-18'!$C$48</definedName>
    <definedName name="_98h_E51">'Пау~д.3 стр.п.п.1-2,8-11,17-18'!$C$49</definedName>
    <definedName name="_98h_E52">'Пау~д.3 стр.п.п.1-2,8-11,17-18'!#REF!</definedName>
    <definedName name="_98h_E53">'Пау~д.3 стр.п.п.1-2,8-11,17-18'!$C$50</definedName>
    <definedName name="_98h_E54">'Пау~д.3 стр.п.п.1-2,8-11,17-18'!$C$51</definedName>
    <definedName name="_98h_E55">'Пау~д.3 стр.п.п.1-2,8-11,17-18'!$C$52</definedName>
    <definedName name="_98h_E56">'Пау~д.3 стр.п.п.1-2,8-11,17-18'!$C$53</definedName>
    <definedName name="_98h_E57">'Пау~д.3 стр.п.п.1-2,8-11,17-18'!$C$54</definedName>
    <definedName name="_98h_E58">'Пау~д.3 стр.п.п.1-2,8-11,17-18'!$C$55</definedName>
    <definedName name="_98h_E59">'Пау~д.3 стр.п.п.1-2,8-11,17-18'!$C$56</definedName>
    <definedName name="_98h_E60">'Пау~д.3 стр.п.п.1-2,8-11,17-18'!$C$57</definedName>
    <definedName name="_98h_E61">'Пау~д.3 стр.п.п.1-2,8-11,17-18'!$C$58</definedName>
    <definedName name="_98h_E62">'Пау~д.3 стр.п.п.1-2,8-11,17-18'!$C$59</definedName>
    <definedName name="_98h_E63">'Пау~д.3 стр.п.п.1-2,8-11,17-18'!#REF!</definedName>
    <definedName name="_98h_E64">'Пау~д.3 стр.п.п.1-2,8-11,17-18'!$C$60</definedName>
    <definedName name="_98h_E65">'Пау~д.3 стр.п.п.1-2,8-11,17-18'!$C$61</definedName>
    <definedName name="_98h_E7">'Пау~д.3 стр.п.п.1-2,8-11,17-18'!$C$5</definedName>
    <definedName name="_98h_E8">'Пау~д.3 стр.п.п.1-2,8-11,17-18'!$C$6</definedName>
    <definedName name="_98h_E9">'Пау~д.3 стр.п.п.1-2,8-11,17-18'!$C$7</definedName>
    <definedName name="_98h_F10">'Пау~д.3 стр.п.п.1-2,8-11,17-18'!$D$8</definedName>
    <definedName name="_98h_F11">'Пау~д.3 стр.п.п.1-2,8-11,17-18'!$D$9</definedName>
    <definedName name="_98h_F12">'Пау~д.3 стр.п.п.1-2,8-11,17-18'!$D$10</definedName>
    <definedName name="_98h_F13">'Пау~д.3 стр.п.п.1-2,8-11,17-18'!$D$11</definedName>
    <definedName name="_98h_F14">'Пау~д.3 стр.п.п.1-2,8-11,17-18'!$D$12</definedName>
    <definedName name="_98h_F15">'Пау~д.3 стр.п.п.1-2,8-11,17-18'!$D$13</definedName>
    <definedName name="_98h_F16">'Пау~д.3 стр.п.п.1-2,8-11,17-18'!$D$14</definedName>
    <definedName name="_98h_F17">'Пау~д.3 стр.п.п.1-2,8-11,17-18'!$D$15</definedName>
    <definedName name="_98h_F18">'Пау~д.3 стр.п.п.1-2,8-11,17-18'!$D$16</definedName>
    <definedName name="_98h_F19">'Пау~д.3 стр.п.п.1-2,8-11,17-18'!$D$17</definedName>
    <definedName name="_98h_F20">'Пау~д.3 стр.п.п.1-2,8-11,17-18'!$D$18</definedName>
    <definedName name="_98h_F21">'Пау~д.3 стр.п.п.1-2,8-11,17-18'!$D$19</definedName>
    <definedName name="_98h_F22">'Пау~д.3 стр.п.п.1-2,8-11,17-18'!$D$20</definedName>
    <definedName name="_98h_F23">'Пау~д.3 стр.п.п.1-2,8-11,17-18'!$D$21</definedName>
    <definedName name="_98h_F24">'Пау~д.3 стр.п.п.1-2,8-11,17-18'!$D$22</definedName>
    <definedName name="_98h_F25">'Пау~д.3 стр.п.п.1-2,8-11,17-18'!$D$23</definedName>
    <definedName name="_98h_F26">'Пау~д.3 стр.п.п.1-2,8-11,17-18'!$D$24</definedName>
    <definedName name="_98h_F27">'Пау~д.3 стр.п.п.1-2,8-11,17-18'!$D$25</definedName>
    <definedName name="_98h_F28">'Пау~д.3 стр.п.п.1-2,8-11,17-18'!$D$26</definedName>
    <definedName name="_98h_F29">'Пау~д.3 стр.п.п.1-2,8-11,17-18'!$D$27</definedName>
    <definedName name="_98h_F30">'Пау~д.3 стр.п.п.1-2,8-11,17-18'!$D$28</definedName>
    <definedName name="_98h_F31">'Пау~д.3 стр.п.п.1-2,8-11,17-18'!$D$29</definedName>
    <definedName name="_98h_F32">'Пау~д.3 стр.п.п.1-2,8-11,17-18'!$D$30</definedName>
    <definedName name="_98h_F33">'Пау~д.3 стр.п.п.1-2,8-11,17-18'!$D$31</definedName>
    <definedName name="_98h_F34">'Пау~д.3 стр.п.п.1-2,8-11,17-18'!$D$32</definedName>
    <definedName name="_98h_F35">'Пау~д.3 стр.п.п.1-2,8-11,17-18'!$D$33</definedName>
    <definedName name="_98h_F36">'Пау~д.3 стр.п.п.1-2,8-11,17-18'!$D$34</definedName>
    <definedName name="_98h_F37">'Пау~д.3 стр.п.п.1-2,8-11,17-18'!$D$35</definedName>
    <definedName name="_98h_F38">'Пау~д.3 стр.п.п.1-2,8-11,17-18'!$D$36</definedName>
    <definedName name="_98h_F39">'Пау~д.3 стр.п.п.1-2,8-11,17-18'!$D$37</definedName>
    <definedName name="_98h_F40">'Пау~д.3 стр.п.п.1-2,8-11,17-18'!$D$38</definedName>
    <definedName name="_98h_F41">'Пау~д.3 стр.п.п.1-2,8-11,17-18'!$D$39</definedName>
    <definedName name="_98h_F42">'Пау~д.3 стр.п.п.1-2,8-11,17-18'!$D$40</definedName>
    <definedName name="_98h_F43">'Пау~д.3 стр.п.п.1-2,8-11,17-18'!$D$41</definedName>
    <definedName name="_98h_F44">'Пау~д.3 стр.п.п.1-2,8-11,17-18'!$D$42</definedName>
    <definedName name="_98h_F45">'Пау~д.3 стр.п.п.1-2,8-11,17-18'!$D$43</definedName>
    <definedName name="_98h_F46">'Пау~д.3 стр.п.п.1-2,8-11,17-18'!$D$44</definedName>
    <definedName name="_98h_F47">'Пау~д.3 стр.п.п.1-2,8-11,17-18'!$D$45</definedName>
    <definedName name="_98h_F48">'Пау~д.3 стр.п.п.1-2,8-11,17-18'!$D$46</definedName>
    <definedName name="_98h_F49">'Пау~д.3 стр.п.п.1-2,8-11,17-18'!$D$47</definedName>
    <definedName name="_98h_F50">'Пау~д.3 стр.п.п.1-2,8-11,17-18'!$D$48</definedName>
    <definedName name="_98h_F51">'Пау~д.3 стр.п.п.1-2,8-11,17-18'!$D$49</definedName>
    <definedName name="_98h_F52">'Пау~д.3 стр.п.п.1-2,8-11,17-18'!#REF!</definedName>
    <definedName name="_98h_F53">'Пау~д.3 стр.п.п.1-2,8-11,17-18'!$D$50</definedName>
    <definedName name="_98h_F54">'Пау~д.3 стр.п.п.1-2,8-11,17-18'!$D$51</definedName>
    <definedName name="_98h_F55">'Пау~д.3 стр.п.п.1-2,8-11,17-18'!$D$52</definedName>
    <definedName name="_98h_F56">'Пау~д.3 стр.п.п.1-2,8-11,17-18'!$D$53</definedName>
    <definedName name="_98h_F57">'Пау~д.3 стр.п.п.1-2,8-11,17-18'!$D$54</definedName>
    <definedName name="_98h_F58">'Пау~д.3 стр.п.п.1-2,8-11,17-18'!$D$55</definedName>
    <definedName name="_98h_F59">'Пау~д.3 стр.п.п.1-2,8-11,17-18'!$D$56</definedName>
    <definedName name="_98h_F60">'Пау~д.3 стр.п.п.1-2,8-11,17-18'!$D$57</definedName>
    <definedName name="_98h_F61">'Пау~д.3 стр.п.п.1-2,8-11,17-18'!$D$58</definedName>
    <definedName name="_98h_F62">'Пау~д.3 стр.п.п.1-2,8-11,17-18'!$D$59</definedName>
    <definedName name="_98h_F63">'Пау~д.3 стр.п.п.1-2,8-11,17-18'!#REF!</definedName>
    <definedName name="_98h_F64">'Пау~д.3 стр.п.п.1-2,8-11,17-18'!$D$60</definedName>
    <definedName name="_98h_F65">'Пау~д.3 стр.п.п.1-2,8-11,17-18'!$D$61</definedName>
    <definedName name="_98h_F7">'Пау~д.3 стр.п.п.1-2,8-11,17-18'!$D$5</definedName>
    <definedName name="_98h_F8">'Пау~д.3 стр.п.п.1-2,8-11,17-18'!$D$6</definedName>
    <definedName name="_98h_F9">'Пау~д.3 стр.п.п.1-2,8-11,17-18'!$D$7</definedName>
    <definedName name="_99h_E10">'Пау~ д.3 стр.п.3-7 ЖСК Телетайп'!$C$8</definedName>
    <definedName name="_99h_E11">'Пау~ д.3 стр.п.3-7 ЖСК Телетайп'!$C$9</definedName>
    <definedName name="_99h_E12">'Пау~ д.3 стр.п.3-7 ЖСК Телетайп'!$C$10</definedName>
    <definedName name="_99h_E13">'Пау~ д.3 стр.п.3-7 ЖСК Телетайп'!$C$11</definedName>
    <definedName name="_99h_E14">'Пау~ д.3 стр.п.3-7 ЖСК Телетайп'!$C$12</definedName>
    <definedName name="_99h_E15">'Пау~ д.3 стр.п.3-7 ЖСК Телетайп'!$C$13</definedName>
    <definedName name="_99h_E16">'Пау~ д.3 стр.п.3-7 ЖСК Телетайп'!$C$14</definedName>
    <definedName name="_99h_E17">'Пау~ д.3 стр.п.3-7 ЖСК Телетайп'!$C$15</definedName>
    <definedName name="_99h_E18">'Пау~ д.3 стр.п.3-7 ЖСК Телетайп'!$C$16</definedName>
    <definedName name="_99h_E19">'Пау~ д.3 стр.п.3-7 ЖСК Телетайп'!$C$17</definedName>
    <definedName name="_99h_E20">'Пау~ д.3 стр.п.3-7 ЖСК Телетайп'!$C$18</definedName>
    <definedName name="_99h_E21">'Пау~ д.3 стр.п.3-7 ЖСК Телетайп'!$C$19</definedName>
    <definedName name="_99h_E22">'Пау~ д.3 стр.п.3-7 ЖСК Телетайп'!$C$20</definedName>
    <definedName name="_99h_E23">'Пау~ д.3 стр.п.3-7 ЖСК Телетайп'!$C$21</definedName>
    <definedName name="_99h_E24">'Пау~ д.3 стр.п.3-7 ЖСК Телетайп'!$C$22</definedName>
    <definedName name="_99h_E25">'Пау~ д.3 стр.п.3-7 ЖСК Телетайп'!$C$23</definedName>
    <definedName name="_99h_E26">'Пау~ д.3 стр.п.3-7 ЖСК Телетайп'!$C$24</definedName>
    <definedName name="_99h_E27">'Пау~ д.3 стр.п.3-7 ЖСК Телетайп'!$C$25</definedName>
    <definedName name="_99h_E28">'Пау~ д.3 стр.п.3-7 ЖСК Телетайп'!$C$26</definedName>
    <definedName name="_99h_E29">'Пау~ д.3 стр.п.3-7 ЖСК Телетайп'!$C$27</definedName>
    <definedName name="_99h_E30">'Пау~ д.3 стр.п.3-7 ЖСК Телетайп'!$C$28</definedName>
    <definedName name="_99h_E31">'Пау~ д.3 стр.п.3-7 ЖСК Телетайп'!$C$29</definedName>
    <definedName name="_99h_E32">'Пау~ д.3 стр.п.3-7 ЖСК Телетайп'!$C$30</definedName>
    <definedName name="_99h_E33">'Пау~ д.3 стр.п.3-7 ЖСК Телетайп'!$C$31</definedName>
    <definedName name="_99h_E34">'Пау~ д.3 стр.п.3-7 ЖСК Телетайп'!$C$32</definedName>
    <definedName name="_99h_E35">'Пау~ д.3 стр.п.3-7 ЖСК Телетайп'!$C$33</definedName>
    <definedName name="_99h_E36">'Пау~ д.3 стр.п.3-7 ЖСК Телетайп'!$C$34</definedName>
    <definedName name="_99h_E37">'Пау~ д.3 стр.п.3-7 ЖСК Телетайп'!$C$35</definedName>
    <definedName name="_99h_E38">'Пау~ д.3 стр.п.3-7 ЖСК Телетайп'!$C$36</definedName>
    <definedName name="_99h_E39">'Пау~ д.3 стр.п.3-7 ЖСК Телетайп'!$C$37</definedName>
    <definedName name="_99h_E40">'Пау~ д.3 стр.п.3-7 ЖСК Телетайп'!$C$38</definedName>
    <definedName name="_99h_E41">'Пау~ д.3 стр.п.3-7 ЖСК Телетайп'!$C$39</definedName>
    <definedName name="_99h_E42">'Пау~ д.3 стр.п.3-7 ЖСК Телетайп'!$C$40</definedName>
    <definedName name="_99h_E43">'Пау~ д.3 стр.п.3-7 ЖСК Телетайп'!$C$41</definedName>
    <definedName name="_99h_E44">'Пау~ д.3 стр.п.3-7 ЖСК Телетайп'!$C$42</definedName>
    <definedName name="_99h_E45">'Пау~ д.3 стр.п.3-7 ЖСК Телетайп'!$C$43</definedName>
    <definedName name="_99h_E46">'Пау~ д.3 стр.п.3-7 ЖСК Телетайп'!$C$44</definedName>
    <definedName name="_99h_E47">'Пау~ д.3 стр.п.3-7 ЖСК Телетайп'!$C$45</definedName>
    <definedName name="_99h_E48">'Пау~ д.3 стр.п.3-7 ЖСК Телетайп'!$C$46</definedName>
    <definedName name="_99h_E49">'Пау~ д.3 стр.п.3-7 ЖСК Телетайп'!$C$47</definedName>
    <definedName name="_99h_E50">'Пау~ д.3 стр.п.3-7 ЖСК Телетайп'!$C$48</definedName>
    <definedName name="_99h_E51">'Пау~ д.3 стр.п.3-7 ЖСК Телетайп'!$C$49</definedName>
    <definedName name="_99h_E52">'Пау~ д.3 стр.п.3-7 ЖСК Телетайп'!#REF!</definedName>
    <definedName name="_99h_E53">'Пау~ д.3 стр.п.3-7 ЖСК Телетайп'!$C$50</definedName>
    <definedName name="_99h_E54">'Пау~ д.3 стр.п.3-7 ЖСК Телетайп'!$C$51</definedName>
    <definedName name="_99h_E55">'Пау~ д.3 стр.п.3-7 ЖСК Телетайп'!$C$52</definedName>
    <definedName name="_99h_E56">'Пау~ д.3 стр.п.3-7 ЖСК Телетайп'!$C$53</definedName>
    <definedName name="_99h_E57">'Пау~ д.3 стр.п.3-7 ЖСК Телетайп'!$C$54</definedName>
    <definedName name="_99h_E58">'Пау~ д.3 стр.п.3-7 ЖСК Телетайп'!$C$55</definedName>
    <definedName name="_99h_E59">'Пау~ д.3 стр.п.3-7 ЖСК Телетайп'!$C$56</definedName>
    <definedName name="_99h_E60">'Пау~ д.3 стр.п.3-7 ЖСК Телетайп'!$C$57</definedName>
    <definedName name="_99h_E61">'Пау~ д.3 стр.п.3-7 ЖСК Телетайп'!$C$58</definedName>
    <definedName name="_99h_E62">'Пау~ д.3 стр.п.3-7 ЖСК Телетайп'!$C$59</definedName>
    <definedName name="_99h_E63">'Пау~ д.3 стр.п.3-7 ЖСК Телетайп'!#REF!</definedName>
    <definedName name="_99h_E64">'Пау~ д.3 стр.п.3-7 ЖСК Телетайп'!$C$60</definedName>
    <definedName name="_99h_E65">'Пау~ д.3 стр.п.3-7 ЖСК Телетайп'!$C$61</definedName>
    <definedName name="_99h_E7">'Пау~ д.3 стр.п.3-7 ЖСК Телетайп'!$C$5</definedName>
    <definedName name="_99h_E8">'Пау~ д.3 стр.п.3-7 ЖСК Телетайп'!$C$6</definedName>
    <definedName name="_99h_E9">'Пау~ д.3 стр.п.3-7 ЖСК Телетайп'!$C$7</definedName>
    <definedName name="_99h_F10">'Пау~ д.3 стр.п.3-7 ЖСК Телетайп'!$D$8</definedName>
    <definedName name="_99h_F11">'Пау~ д.3 стр.п.3-7 ЖСК Телетайп'!$D$9</definedName>
    <definedName name="_99h_F12">'Пау~ д.3 стр.п.3-7 ЖСК Телетайп'!$D$10</definedName>
    <definedName name="_99h_F13">'Пау~ д.3 стр.п.3-7 ЖСК Телетайп'!$D$11</definedName>
    <definedName name="_99h_F14">'Пау~ д.3 стр.п.3-7 ЖСК Телетайп'!$D$12</definedName>
    <definedName name="_99h_F15">'Пау~ д.3 стр.п.3-7 ЖСК Телетайп'!$D$13</definedName>
    <definedName name="_99h_F16">'Пау~ д.3 стр.п.3-7 ЖСК Телетайп'!$D$14</definedName>
    <definedName name="_99h_F17">'Пау~ д.3 стр.п.3-7 ЖСК Телетайп'!$D$15</definedName>
    <definedName name="_99h_F18">'Пау~ д.3 стр.п.3-7 ЖСК Телетайп'!$D$16</definedName>
    <definedName name="_99h_F19">'Пау~ д.3 стр.п.3-7 ЖСК Телетайп'!$D$17</definedName>
    <definedName name="_99h_F20">'Пау~ д.3 стр.п.3-7 ЖСК Телетайп'!$D$18</definedName>
    <definedName name="_99h_F21">'Пау~ д.3 стр.п.3-7 ЖСК Телетайп'!$D$19</definedName>
    <definedName name="_99h_F22">'Пау~ д.3 стр.п.3-7 ЖСК Телетайп'!$D$20</definedName>
    <definedName name="_99h_F23">'Пау~ д.3 стр.п.3-7 ЖСК Телетайп'!$D$21</definedName>
    <definedName name="_99h_F24">'Пау~ д.3 стр.п.3-7 ЖСК Телетайп'!$D$22</definedName>
    <definedName name="_99h_F25">'Пау~ д.3 стр.п.3-7 ЖСК Телетайп'!$D$23</definedName>
    <definedName name="_99h_F26">'Пау~ д.3 стр.п.3-7 ЖСК Телетайп'!$D$24</definedName>
    <definedName name="_99h_F27">'Пау~ д.3 стр.п.3-7 ЖСК Телетайп'!$D$25</definedName>
    <definedName name="_99h_F28">'Пау~ д.3 стр.п.3-7 ЖСК Телетайп'!$D$26</definedName>
    <definedName name="_99h_F29">'Пау~ д.3 стр.п.3-7 ЖСК Телетайп'!$D$27</definedName>
    <definedName name="_99h_F30">'Пау~ д.3 стр.п.3-7 ЖСК Телетайп'!$D$28</definedName>
    <definedName name="_99h_F31">'Пау~ д.3 стр.п.3-7 ЖСК Телетайп'!$D$29</definedName>
    <definedName name="_99h_F32">'Пау~ д.3 стр.п.3-7 ЖСК Телетайп'!$D$30</definedName>
    <definedName name="_99h_F33">'Пау~ д.3 стр.п.3-7 ЖСК Телетайп'!$D$31</definedName>
    <definedName name="_99h_F34">'Пау~ д.3 стр.п.3-7 ЖСК Телетайп'!$D$32</definedName>
    <definedName name="_99h_F35">'Пау~ д.3 стр.п.3-7 ЖСК Телетайп'!$D$33</definedName>
    <definedName name="_99h_F36">'Пау~ д.3 стр.п.3-7 ЖСК Телетайп'!$D$34</definedName>
    <definedName name="_99h_F37">'Пау~ д.3 стр.п.3-7 ЖСК Телетайп'!$D$35</definedName>
    <definedName name="_99h_F38">'Пау~ д.3 стр.п.3-7 ЖСК Телетайп'!$D$36</definedName>
    <definedName name="_99h_F39">'Пау~ д.3 стр.п.3-7 ЖСК Телетайп'!$D$37</definedName>
    <definedName name="_99h_F40">'Пау~ д.3 стр.п.3-7 ЖСК Телетайп'!$D$38</definedName>
    <definedName name="_99h_F41">'Пау~ д.3 стр.п.3-7 ЖСК Телетайп'!$D$39</definedName>
    <definedName name="_99h_F42">'Пау~ д.3 стр.п.3-7 ЖСК Телетайп'!$D$40</definedName>
    <definedName name="_99h_F43">'Пау~ д.3 стр.п.3-7 ЖСК Телетайп'!$D$41</definedName>
    <definedName name="_99h_F44">'Пау~ д.3 стр.п.3-7 ЖСК Телетайп'!$D$42</definedName>
    <definedName name="_99h_F45">'Пау~ д.3 стр.п.3-7 ЖСК Телетайп'!$D$43</definedName>
    <definedName name="_99h_F46">'Пау~ д.3 стр.п.3-7 ЖСК Телетайп'!$D$44</definedName>
    <definedName name="_99h_F47">'Пау~ д.3 стр.п.3-7 ЖСК Телетайп'!$D$45</definedName>
    <definedName name="_99h_F48">'Пау~ д.3 стр.п.3-7 ЖСК Телетайп'!$D$46</definedName>
    <definedName name="_99h_F49">'Пау~ д.3 стр.п.3-7 ЖСК Телетайп'!$D$47</definedName>
    <definedName name="_99h_F50">'Пау~ д.3 стр.п.3-7 ЖСК Телетайп'!$D$48</definedName>
    <definedName name="_99h_F51">'Пау~ д.3 стр.п.3-7 ЖСК Телетайп'!$D$49</definedName>
    <definedName name="_99h_F52">'Пау~ д.3 стр.п.3-7 ЖСК Телетайп'!#REF!</definedName>
    <definedName name="_99h_F53">'Пау~ д.3 стр.п.3-7 ЖСК Телетайп'!$D$50</definedName>
    <definedName name="_99h_F54">'Пау~ д.3 стр.п.3-7 ЖСК Телетайп'!$D$51</definedName>
    <definedName name="_99h_F55">'Пау~ д.3 стр.п.3-7 ЖСК Телетайп'!$D$52</definedName>
    <definedName name="_99h_F56">'Пау~ д.3 стр.п.3-7 ЖСК Телетайп'!$D$53</definedName>
    <definedName name="_99h_F57">'Пау~ д.3 стр.п.3-7 ЖСК Телетайп'!$D$54</definedName>
    <definedName name="_99h_F58">'Пау~ д.3 стр.п.3-7 ЖСК Телетайп'!$D$55</definedName>
    <definedName name="_99h_F59">'Пау~ д.3 стр.п.3-7 ЖСК Телетайп'!$D$56</definedName>
    <definedName name="_99h_F60">'Пау~ д.3 стр.п.3-7 ЖСК Телетайп'!$D$57</definedName>
    <definedName name="_99h_F61">'Пау~ д.3 стр.п.3-7 ЖСК Телетайп'!$D$58</definedName>
    <definedName name="_99h_F62">'Пау~ д.3 стр.п.3-7 ЖСК Телетайп'!$D$59</definedName>
    <definedName name="_99h_F63">'Пау~ д.3 стр.п.3-7 ЖСК Телетайп'!#REF!</definedName>
    <definedName name="_99h_F64">'Пау~ д.3 стр.п.3-7 ЖСК Телетайп'!$D$60</definedName>
    <definedName name="_99h_F65">'Пау~ д.3 стр.п.3-7 ЖСК Телетайп'!$D$61</definedName>
    <definedName name="_99h_F7">'Пау~ д.3 стр.п.3-7 ЖСК Телетайп'!$D$5</definedName>
    <definedName name="_99h_F8">'Пау~ д.3 стр.п.3-7 ЖСК Телетайп'!$D$6</definedName>
    <definedName name="_99h_F9">'Пау~ д.3 стр.п.3-7 ЖСК Телетайп'!$D$7</definedName>
    <definedName name="_9h_E10">'Вильнюсская д.8 к.2'!$C$8</definedName>
    <definedName name="_9h_E11">'Вильнюсская д.8 к.2'!$C$9</definedName>
    <definedName name="_9h_E12">'Вильнюсская д.8 к.2'!$C$10</definedName>
    <definedName name="_9h_E13">'Вильнюсская д.8 к.2'!$C$11</definedName>
    <definedName name="_9h_E14">'Вильнюсская д.8 к.2'!$C$12</definedName>
    <definedName name="_9h_E15">'Вильнюсская д.8 к.2'!$C$13</definedName>
    <definedName name="_9h_E16">'Вильнюсская д.8 к.2'!$C$14</definedName>
    <definedName name="_9h_E17">'Вильнюсская д.8 к.2'!$C$15</definedName>
    <definedName name="_9h_E18">'Вильнюсская д.8 к.2'!$C$16</definedName>
    <definedName name="_9h_E19">'Вильнюсская д.8 к.2'!$C$17</definedName>
    <definedName name="_9h_E20">'Вильнюсская д.8 к.2'!$C$18</definedName>
    <definedName name="_9h_E21">'Вильнюсская д.8 к.2'!$C$19</definedName>
    <definedName name="_9h_E22">'Вильнюсская д.8 к.2'!$C$20</definedName>
    <definedName name="_9h_E23">'Вильнюсская д.8 к.2'!$C$21</definedName>
    <definedName name="_9h_E24">'Вильнюсская д.8 к.2'!$C$22</definedName>
    <definedName name="_9h_E25">'Вильнюсская д.8 к.2'!$C$23</definedName>
    <definedName name="_9h_E26">'Вильнюсская д.8 к.2'!$C$24</definedName>
    <definedName name="_9h_E27">'Вильнюсская д.8 к.2'!$C$25</definedName>
    <definedName name="_9h_E28">'Вильнюсская д.8 к.2'!$C$26</definedName>
    <definedName name="_9h_E29">'Вильнюсская д.8 к.2'!$C$27</definedName>
    <definedName name="_9h_E30">'Вильнюсская д.8 к.2'!$C$28</definedName>
    <definedName name="_9h_E31">'Вильнюсская д.8 к.2'!$C$29</definedName>
    <definedName name="_9h_E32">'Вильнюсская д.8 к.2'!$C$30</definedName>
    <definedName name="_9h_E33">'Вильнюсская д.8 к.2'!$C$31</definedName>
    <definedName name="_9h_E34">'Вильнюсская д.8 к.2'!$C$32</definedName>
    <definedName name="_9h_E35">'Вильнюсская д.8 к.2'!$C$33</definedName>
    <definedName name="_9h_E36">'Вильнюсская д.8 к.2'!$C$34</definedName>
    <definedName name="_9h_E37">'Вильнюсская д.8 к.2'!$C$35</definedName>
    <definedName name="_9h_E38">'Вильнюсская д.8 к.2'!$C$36</definedName>
    <definedName name="_9h_E39">'Вильнюсская д.8 к.2'!$C$37</definedName>
    <definedName name="_9h_E40">'Вильнюсская д.8 к.2'!$C$38</definedName>
    <definedName name="_9h_E41">'Вильнюсская д.8 к.2'!$C$39</definedName>
    <definedName name="_9h_E42">'Вильнюсская д.8 к.2'!$C$40</definedName>
    <definedName name="_9h_E43">'Вильнюсская д.8 к.2'!$C$41</definedName>
    <definedName name="_9h_E44">'Вильнюсская д.8 к.2'!$C$42</definedName>
    <definedName name="_9h_E45">'Вильнюсская д.8 к.2'!$C$43</definedName>
    <definedName name="_9h_E46">'Вильнюсская д.8 к.2'!$C$44</definedName>
    <definedName name="_9h_E47">'Вильнюсская д.8 к.2'!$C$45</definedName>
    <definedName name="_9h_E48">'Вильнюсская д.8 к.2'!$C$46</definedName>
    <definedName name="_9h_E49">'Вильнюсская д.8 к.2'!$C$47</definedName>
    <definedName name="_9h_E50">'Вильнюсская д.8 к.2'!$C$48</definedName>
    <definedName name="_9h_E51">'Вильнюсская д.8 к.2'!$C$49</definedName>
    <definedName name="_9h_E52">'Вильнюсская д.8 к.2'!#REF!</definedName>
    <definedName name="_9h_E53">'Вильнюсская д.8 к.2'!$C$50</definedName>
    <definedName name="_9h_E54">'Вильнюсская д.8 к.2'!$C$51</definedName>
    <definedName name="_9h_E55">'Вильнюсская д.8 к.2'!$C$52</definedName>
    <definedName name="_9h_E56">'Вильнюсская д.8 к.2'!$C$53</definedName>
    <definedName name="_9h_E57">'Вильнюсская д.8 к.2'!$C$54</definedName>
    <definedName name="_9h_E58">'Вильнюсская д.8 к.2'!$C$55</definedName>
    <definedName name="_9h_E59">'Вильнюсская д.8 к.2'!$C$56</definedName>
    <definedName name="_9h_E60">'Вильнюсская д.8 к.2'!$C$57</definedName>
    <definedName name="_9h_E61">'Вильнюсская д.8 к.2'!$C$58</definedName>
    <definedName name="_9h_E62">'Вильнюсская д.8 к.2'!$C$59</definedName>
    <definedName name="_9h_E63">'Вильнюсская д.8 к.2'!#REF!</definedName>
    <definedName name="_9h_E64">'Вильнюсская д.8 к.2'!$C$60</definedName>
    <definedName name="_9h_E65">'Вильнюсская д.8 к.2'!$C$61</definedName>
    <definedName name="_9h_E7">'Вильнюсская д.8 к.2'!$C$5</definedName>
    <definedName name="_9h_E8">'Вильнюсская д.8 к.2'!$C$6</definedName>
    <definedName name="_9h_E9">'Вильнюсская д.8 к.2'!$C$7</definedName>
    <definedName name="_9h_F10">'Вильнюсская д.8 к.2'!$D$8</definedName>
    <definedName name="_9h_F11">'Вильнюсская д.8 к.2'!$D$9</definedName>
    <definedName name="_9h_F12">'Вильнюсская д.8 к.2'!$D$10</definedName>
    <definedName name="_9h_F13">'Вильнюсская д.8 к.2'!$D$11</definedName>
    <definedName name="_9h_F14">'Вильнюсская д.8 к.2'!$D$12</definedName>
    <definedName name="_9h_F15">'Вильнюсская д.8 к.2'!$D$13</definedName>
    <definedName name="_9h_F16">'Вильнюсская д.8 к.2'!$D$14</definedName>
    <definedName name="_9h_F17">'Вильнюсская д.8 к.2'!$D$15</definedName>
    <definedName name="_9h_F18">'Вильнюсская д.8 к.2'!$D$16</definedName>
    <definedName name="_9h_F19">'Вильнюсская д.8 к.2'!$D$17</definedName>
    <definedName name="_9h_F20">'Вильнюсская д.8 к.2'!$D$18</definedName>
    <definedName name="_9h_F21">'Вильнюсская д.8 к.2'!$D$19</definedName>
    <definedName name="_9h_F22">'Вильнюсская д.8 к.2'!$D$20</definedName>
    <definedName name="_9h_F23">'Вильнюсская д.8 к.2'!$D$21</definedName>
    <definedName name="_9h_F24">'Вильнюсская д.8 к.2'!$D$22</definedName>
    <definedName name="_9h_F25">'Вильнюсская д.8 к.2'!$D$23</definedName>
    <definedName name="_9h_F26">'Вильнюсская д.8 к.2'!$D$24</definedName>
    <definedName name="_9h_F27">'Вильнюсская д.8 к.2'!$D$25</definedName>
    <definedName name="_9h_F28">'Вильнюсская д.8 к.2'!$D$26</definedName>
    <definedName name="_9h_F29">'Вильнюсская д.8 к.2'!$D$27</definedName>
    <definedName name="_9h_F30">'Вильнюсская д.8 к.2'!$D$28</definedName>
    <definedName name="_9h_F31">'Вильнюсская д.8 к.2'!$D$29</definedName>
    <definedName name="_9h_F32">'Вильнюсская д.8 к.2'!$D$30</definedName>
    <definedName name="_9h_F33">'Вильнюсская д.8 к.2'!$D$31</definedName>
    <definedName name="_9h_F34">'Вильнюсская д.8 к.2'!$D$32</definedName>
    <definedName name="_9h_F35">'Вильнюсская д.8 к.2'!$D$33</definedName>
    <definedName name="_9h_F36">'Вильнюсская д.8 к.2'!$D$34</definedName>
    <definedName name="_9h_F37">'Вильнюсская д.8 к.2'!$D$35</definedName>
    <definedName name="_9h_F38">'Вильнюсская д.8 к.2'!$D$36</definedName>
    <definedName name="_9h_F39">'Вильнюсская д.8 к.2'!$D$37</definedName>
    <definedName name="_9h_F40">'Вильнюсская д.8 к.2'!$D$38</definedName>
    <definedName name="_9h_F41">'Вильнюсская д.8 к.2'!$D$39</definedName>
    <definedName name="_9h_F42">'Вильнюсская д.8 к.2'!$D$40</definedName>
    <definedName name="_9h_F43">'Вильнюсская д.8 к.2'!$D$41</definedName>
    <definedName name="_9h_F44">'Вильнюсская д.8 к.2'!$D$42</definedName>
    <definedName name="_9h_F45">'Вильнюсская д.8 к.2'!$D$43</definedName>
    <definedName name="_9h_F46">'Вильнюсская д.8 к.2'!$D$44</definedName>
    <definedName name="_9h_F47">'Вильнюсская д.8 к.2'!$D$45</definedName>
    <definedName name="_9h_F48">'Вильнюсская д.8 к.2'!$D$46</definedName>
    <definedName name="_9h_F49">'Вильнюсская д.8 к.2'!$D$47</definedName>
    <definedName name="_9h_F50">'Вильнюсская д.8 к.2'!$D$48</definedName>
    <definedName name="_9h_F51">'Вильнюсская д.8 к.2'!$D$49</definedName>
    <definedName name="_9h_F52">'Вильнюсская д.8 к.2'!#REF!</definedName>
    <definedName name="_9h_F53">'Вильнюсская д.8 к.2'!$D$50</definedName>
    <definedName name="_9h_F54">'Вильнюсская д.8 к.2'!$D$51</definedName>
    <definedName name="_9h_F55">'Вильнюсская д.8 к.2'!$D$52</definedName>
    <definedName name="_9h_F56">'Вильнюсская д.8 к.2'!$D$53</definedName>
    <definedName name="_9h_F57">'Вильнюсская д.8 к.2'!$D$54</definedName>
    <definedName name="_9h_F58">'Вильнюсская д.8 к.2'!$D$55</definedName>
    <definedName name="_9h_F59">'Вильнюсская д.8 к.2'!$D$56</definedName>
    <definedName name="_9h_F60">'Вильнюсская д.8 к.2'!$D$57</definedName>
    <definedName name="_9h_F61">'Вильнюсская д.8 к.2'!$D$58</definedName>
    <definedName name="_9h_F62">'Вильнюсская д.8 к.2'!$D$59</definedName>
    <definedName name="_9h_F63">'Вильнюсская д.8 к.2'!#REF!</definedName>
    <definedName name="_9h_F64">'Вильнюсская д.8 к.2'!$D$60</definedName>
    <definedName name="_9h_F65">'Вильнюсская д.8 к.2'!$D$61</definedName>
    <definedName name="_9h_F7">'Вильнюсская д.8 к.2'!$D$5</definedName>
    <definedName name="_9h_F8">'Вильнюсская д.8 к.2'!$D$6</definedName>
    <definedName name="_9h_F9">'Вильнюсская д.8 к.2'!$D$7</definedName>
  </definedNames>
  <calcPr calcId="125725"/>
</workbook>
</file>

<file path=xl/calcChain.xml><?xml version="1.0" encoding="utf-8"?>
<calcChain xmlns="http://schemas.openxmlformats.org/spreadsheetml/2006/main">
  <c r="C47" i="335"/>
  <c r="D49" i="332"/>
  <c r="H18" i="326"/>
  <c r="I18" i="332"/>
  <c r="D9" i="140" l="1"/>
  <c r="D18"/>
  <c r="D18" i="206"/>
  <c r="D18" i="176"/>
  <c r="D47" i="86"/>
  <c r="C42" i="224" l="1"/>
  <c r="D39" i="194"/>
  <c r="C39" i="32" l="1"/>
  <c r="D9" i="281"/>
  <c r="D9" i="128"/>
  <c r="G10" i="83"/>
  <c r="C39" i="281" l="1"/>
  <c r="D58" i="404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C15"/>
  <c r="D14"/>
  <c r="C14"/>
  <c r="D13"/>
  <c r="C13"/>
  <c r="D12"/>
  <c r="C12"/>
  <c r="C10"/>
  <c r="D10" s="1"/>
  <c r="D9"/>
  <c r="C9"/>
  <c r="D11"/>
  <c r="D15"/>
  <c r="C31"/>
  <c r="C25" s="1"/>
  <c r="D31"/>
  <c r="D25" s="1"/>
  <c r="C45"/>
  <c r="D45"/>
  <c r="C54"/>
  <c r="D54"/>
  <c r="C59"/>
  <c r="D59"/>
  <c r="D58" i="40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5"/>
  <c r="D15"/>
  <c r="C31"/>
  <c r="C25" s="1"/>
  <c r="D31"/>
  <c r="D25" s="1"/>
  <c r="C45"/>
  <c r="D45"/>
  <c r="C54"/>
  <c r="D54"/>
  <c r="C59"/>
  <c r="D59"/>
  <c r="D58" i="398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9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92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89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5"/>
  <c r="D15"/>
  <c r="C31"/>
  <c r="C25" s="1"/>
  <c r="D31"/>
  <c r="D25" s="1"/>
  <c r="C45"/>
  <c r="D45"/>
  <c r="C54"/>
  <c r="D54"/>
  <c r="C59"/>
  <c r="D59"/>
  <c r="D58" i="386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C31" s="1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D15"/>
  <c r="D31"/>
  <c r="D25" s="1"/>
  <c r="C45"/>
  <c r="D45"/>
  <c r="C54"/>
  <c r="D54"/>
  <c r="C59"/>
  <c r="D59"/>
  <c r="D58" i="383"/>
  <c r="C58"/>
  <c r="D56"/>
  <c r="C56"/>
  <c r="D55"/>
  <c r="D54" s="1"/>
  <c r="C55"/>
  <c r="D49"/>
  <c r="C49"/>
  <c r="D48"/>
  <c r="C48"/>
  <c r="D47"/>
  <c r="C47"/>
  <c r="D46"/>
  <c r="D45" s="1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D31" s="1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5"/>
  <c r="D14"/>
  <c r="C14"/>
  <c r="D13"/>
  <c r="C13"/>
  <c r="D12"/>
  <c r="D11" s="1"/>
  <c r="C12"/>
  <c r="C10"/>
  <c r="D10" s="1"/>
  <c r="C9"/>
  <c r="C11"/>
  <c r="C15"/>
  <c r="C31"/>
  <c r="C25" s="1"/>
  <c r="C45"/>
  <c r="C54"/>
  <c r="D58" i="380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377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74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37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68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D11"/>
  <c r="C15"/>
  <c r="D15"/>
  <c r="C31"/>
  <c r="C25" s="1"/>
  <c r="D31"/>
  <c r="D25" s="1"/>
  <c r="C45"/>
  <c r="D45"/>
  <c r="C54"/>
  <c r="D54"/>
  <c r="C59"/>
  <c r="D59"/>
  <c r="D58" i="36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62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D11"/>
  <c r="C15"/>
  <c r="D15"/>
  <c r="C31"/>
  <c r="C25" s="1"/>
  <c r="D31"/>
  <c r="D25" s="1"/>
  <c r="C45"/>
  <c r="D45"/>
  <c r="C54"/>
  <c r="D54"/>
  <c r="C59"/>
  <c r="D59"/>
  <c r="D58" i="359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56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353"/>
  <c r="C58"/>
  <c r="D56"/>
  <c r="C56"/>
  <c r="D55"/>
  <c r="C55"/>
  <c r="C54" s="1"/>
  <c r="C59" s="1"/>
  <c r="D49"/>
  <c r="C49"/>
  <c r="D48"/>
  <c r="C48"/>
  <c r="D47"/>
  <c r="C47"/>
  <c r="D46"/>
  <c r="C46"/>
  <c r="C45" s="1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D45"/>
  <c r="D54"/>
  <c r="D59" s="1"/>
  <c r="D58" i="350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47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44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4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338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35"/>
  <c r="C58"/>
  <c r="D56"/>
  <c r="C56"/>
  <c r="D55"/>
  <c r="C55"/>
  <c r="D49"/>
  <c r="C49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32"/>
  <c r="C58"/>
  <c r="D56"/>
  <c r="C56"/>
  <c r="D55"/>
  <c r="C55"/>
  <c r="D48"/>
  <c r="D46"/>
  <c r="D44"/>
  <c r="D43"/>
  <c r="D42"/>
  <c r="D41"/>
  <c r="D40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5"/>
  <c r="D14"/>
  <c r="D13"/>
  <c r="D12"/>
  <c r="D11" s="1"/>
  <c r="D10"/>
  <c r="D31"/>
  <c r="D25" s="1"/>
  <c r="D45"/>
  <c r="C54"/>
  <c r="D54"/>
  <c r="C59"/>
  <c r="D59"/>
  <c r="D58" i="329"/>
  <c r="C58"/>
  <c r="D56"/>
  <c r="C56"/>
  <c r="D55"/>
  <c r="C55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26"/>
  <c r="C58"/>
  <c r="D56"/>
  <c r="C56"/>
  <c r="D55"/>
  <c r="C55"/>
  <c r="D48"/>
  <c r="D46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4"/>
  <c r="D13"/>
  <c r="D12"/>
  <c r="D10"/>
  <c r="D11"/>
  <c r="D15"/>
  <c r="D31"/>
  <c r="D25" s="1"/>
  <c r="D45"/>
  <c r="C54"/>
  <c r="D54"/>
  <c r="C59"/>
  <c r="D59"/>
  <c r="D58" i="323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20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17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5"/>
  <c r="D15"/>
  <c r="C31"/>
  <c r="C25" s="1"/>
  <c r="D31"/>
  <c r="C45"/>
  <c r="D45"/>
  <c r="C54"/>
  <c r="D54"/>
  <c r="C59"/>
  <c r="D59"/>
  <c r="D58" i="314"/>
  <c r="C58"/>
  <c r="D56"/>
  <c r="C56"/>
  <c r="D55"/>
  <c r="D54" s="1"/>
  <c r="D59" s="1"/>
  <c r="C55"/>
  <c r="D49"/>
  <c r="C49"/>
  <c r="D48"/>
  <c r="C48"/>
  <c r="D47"/>
  <c r="C47"/>
  <c r="D46"/>
  <c r="D45" s="1"/>
  <c r="C46"/>
  <c r="D44"/>
  <c r="C44"/>
  <c r="D43"/>
  <c r="C43"/>
  <c r="D42"/>
  <c r="C42"/>
  <c r="D41"/>
  <c r="C41"/>
  <c r="D40"/>
  <c r="C40"/>
  <c r="D39"/>
  <c r="D38"/>
  <c r="C38"/>
  <c r="D37"/>
  <c r="D36"/>
  <c r="C36"/>
  <c r="D35"/>
  <c r="C35"/>
  <c r="D34"/>
  <c r="C34"/>
  <c r="D33"/>
  <c r="C33"/>
  <c r="D32"/>
  <c r="D31" s="1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5"/>
  <c r="D14"/>
  <c r="C14"/>
  <c r="D13"/>
  <c r="C13"/>
  <c r="D12"/>
  <c r="D11" s="1"/>
  <c r="C12"/>
  <c r="C11" s="1"/>
  <c r="C10"/>
  <c r="D10" s="1"/>
  <c r="D9"/>
  <c r="C9"/>
  <c r="C15"/>
  <c r="C31"/>
  <c r="C25" s="1"/>
  <c r="C45"/>
  <c r="C54"/>
  <c r="C59" s="1"/>
  <c r="D58" i="31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08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05"/>
  <c r="C58"/>
  <c r="D56"/>
  <c r="C56"/>
  <c r="D55"/>
  <c r="C55"/>
  <c r="C54"/>
  <c r="D54"/>
  <c r="C59"/>
  <c r="D59"/>
  <c r="D58" i="302"/>
  <c r="C58"/>
  <c r="D56"/>
  <c r="C56"/>
  <c r="D55"/>
  <c r="C55"/>
  <c r="C54"/>
  <c r="D54"/>
  <c r="C59"/>
  <c r="D59"/>
  <c r="D58" i="299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96"/>
  <c r="C58"/>
  <c r="D56"/>
  <c r="C56"/>
  <c r="D55"/>
  <c r="C55"/>
  <c r="D49"/>
  <c r="D48"/>
  <c r="D47"/>
  <c r="D46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8"/>
  <c r="D14"/>
  <c r="D13"/>
  <c r="D12"/>
  <c r="D10"/>
  <c r="D9"/>
  <c r="D11"/>
  <c r="D15"/>
  <c r="D31"/>
  <c r="D25" s="1"/>
  <c r="D45"/>
  <c r="C54"/>
  <c r="D54"/>
  <c r="C59"/>
  <c r="D59"/>
  <c r="D58" i="293"/>
  <c r="C58"/>
  <c r="D56"/>
  <c r="C56"/>
  <c r="D55"/>
  <c r="C55"/>
  <c r="D49"/>
  <c r="D48"/>
  <c r="D47"/>
  <c r="D46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8"/>
  <c r="D14"/>
  <c r="D13"/>
  <c r="D12"/>
  <c r="D10"/>
  <c r="D9"/>
  <c r="D11"/>
  <c r="D15"/>
  <c r="D31"/>
  <c r="D25" s="1"/>
  <c r="D45"/>
  <c r="C54"/>
  <c r="D54"/>
  <c r="C59"/>
  <c r="D59"/>
  <c r="D58" i="290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287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C9"/>
  <c r="C11"/>
  <c r="C15"/>
  <c r="D15"/>
  <c r="C31"/>
  <c r="C25" s="1"/>
  <c r="D31"/>
  <c r="D25" s="1"/>
  <c r="C45"/>
  <c r="C54"/>
  <c r="D54"/>
  <c r="C59"/>
  <c r="D59"/>
  <c r="D58" i="284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C15"/>
  <c r="D15"/>
  <c r="C31"/>
  <c r="C25" s="1"/>
  <c r="D31"/>
  <c r="D25" s="1"/>
  <c r="C45"/>
  <c r="D45"/>
  <c r="C54"/>
  <c r="D54"/>
  <c r="C59"/>
  <c r="D59"/>
  <c r="D58" i="281"/>
  <c r="C58"/>
  <c r="D56"/>
  <c r="C56"/>
  <c r="D55"/>
  <c r="C55"/>
  <c r="D49"/>
  <c r="C49"/>
  <c r="D48"/>
  <c r="C48"/>
  <c r="D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C9"/>
  <c r="C11"/>
  <c r="C15"/>
  <c r="C31"/>
  <c r="C25" s="1"/>
  <c r="D31"/>
  <c r="D25" s="1"/>
  <c r="C45"/>
  <c r="D45"/>
  <c r="C54"/>
  <c r="D54"/>
  <c r="C59"/>
  <c r="D59"/>
  <c r="D58" i="278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D15"/>
  <c r="C31"/>
  <c r="C25" s="1"/>
  <c r="D31"/>
  <c r="D25" s="1"/>
  <c r="C45"/>
  <c r="D45"/>
  <c r="C54"/>
  <c r="D54"/>
  <c r="C59"/>
  <c r="D59"/>
  <c r="D58" i="275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C15"/>
  <c r="D15"/>
  <c r="C31"/>
  <c r="C25" s="1"/>
  <c r="D31"/>
  <c r="D25" s="1"/>
  <c r="C45"/>
  <c r="D45"/>
  <c r="C54"/>
  <c r="D54"/>
  <c r="C59"/>
  <c r="D59"/>
  <c r="D58" i="272"/>
  <c r="C58"/>
  <c r="D56"/>
  <c r="C56"/>
  <c r="D55"/>
  <c r="C55"/>
  <c r="C54" s="1"/>
  <c r="D49"/>
  <c r="C49"/>
  <c r="D48"/>
  <c r="C48"/>
  <c r="C47"/>
  <c r="D46"/>
  <c r="C46"/>
  <c r="C45" s="1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C31" s="1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D11"/>
  <c r="D15"/>
  <c r="D31"/>
  <c r="D25" s="1"/>
  <c r="D45"/>
  <c r="D54"/>
  <c r="D58" i="269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66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31"/>
  <c r="C25" s="1"/>
  <c r="D31"/>
  <c r="D25" s="1"/>
  <c r="C45"/>
  <c r="D45"/>
  <c r="C54"/>
  <c r="D54"/>
  <c r="C59"/>
  <c r="D59"/>
  <c r="D58" i="263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260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D45"/>
  <c r="C54"/>
  <c r="D54"/>
  <c r="C59"/>
  <c r="D59"/>
  <c r="D58" i="257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254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C31"/>
  <c r="C25" s="1"/>
  <c r="D31"/>
  <c r="D25" s="1"/>
  <c r="C45"/>
  <c r="D45"/>
  <c r="C54"/>
  <c r="D54"/>
  <c r="C59"/>
  <c r="D59"/>
  <c r="D58" i="25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248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24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242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39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36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233"/>
  <c r="C58"/>
  <c r="D56"/>
  <c r="C56"/>
  <c r="D55"/>
  <c r="C55"/>
  <c r="D49"/>
  <c r="D48"/>
  <c r="D47"/>
  <c r="D46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8"/>
  <c r="D14"/>
  <c r="D13"/>
  <c r="D12"/>
  <c r="D10"/>
  <c r="D9"/>
  <c r="D11"/>
  <c r="D15"/>
  <c r="D31"/>
  <c r="D25" s="1"/>
  <c r="D45"/>
  <c r="C54"/>
  <c r="D54"/>
  <c r="C59"/>
  <c r="D59"/>
  <c r="D58" i="230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27"/>
  <c r="C58"/>
  <c r="D56"/>
  <c r="C56"/>
  <c r="D55"/>
  <c r="C55"/>
  <c r="D49"/>
  <c r="C49"/>
  <c r="D48"/>
  <c r="C48"/>
  <c r="D47"/>
  <c r="C47"/>
  <c r="D46"/>
  <c r="C46"/>
  <c r="D44"/>
  <c r="C44"/>
  <c r="C43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24"/>
  <c r="C58"/>
  <c r="D56"/>
  <c r="C56"/>
  <c r="D55"/>
  <c r="C55"/>
  <c r="D49"/>
  <c r="C49"/>
  <c r="D48"/>
  <c r="C48"/>
  <c r="D47"/>
  <c r="C47"/>
  <c r="D46"/>
  <c r="C46"/>
  <c r="D44"/>
  <c r="C44"/>
  <c r="C43"/>
  <c r="D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22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218"/>
  <c r="C58"/>
  <c r="D56"/>
  <c r="C56"/>
  <c r="D55"/>
  <c r="C55"/>
  <c r="D49"/>
  <c r="C49"/>
  <c r="D47"/>
  <c r="C47"/>
  <c r="D46"/>
  <c r="C46"/>
  <c r="D44"/>
  <c r="C44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D15"/>
  <c r="C31"/>
  <c r="C25" s="1"/>
  <c r="D31"/>
  <c r="D25" s="1"/>
  <c r="C45"/>
  <c r="D45"/>
  <c r="C54"/>
  <c r="D54"/>
  <c r="C59"/>
  <c r="D59"/>
  <c r="D58" i="21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12"/>
  <c r="C58"/>
  <c r="D56"/>
  <c r="C56"/>
  <c r="D55"/>
  <c r="D54" s="1"/>
  <c r="D59" s="1"/>
  <c r="C55"/>
  <c r="D49"/>
  <c r="C49"/>
  <c r="D48"/>
  <c r="C48"/>
  <c r="C47"/>
  <c r="D46"/>
  <c r="D45" s="1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D31" s="1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5"/>
  <c r="D14"/>
  <c r="C14"/>
  <c r="D13"/>
  <c r="C13"/>
  <c r="D12"/>
  <c r="D11" s="1"/>
  <c r="C12"/>
  <c r="C10"/>
  <c r="D10" s="1"/>
  <c r="C9"/>
  <c r="C11"/>
  <c r="C15"/>
  <c r="C31"/>
  <c r="C25" s="1"/>
  <c r="C45"/>
  <c r="C54"/>
  <c r="C59"/>
  <c r="D58" i="209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06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203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200"/>
  <c r="C58"/>
  <c r="D56"/>
  <c r="C56"/>
  <c r="D55"/>
  <c r="C55"/>
  <c r="D49"/>
  <c r="D48"/>
  <c r="D47"/>
  <c r="D46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8"/>
  <c r="D14"/>
  <c r="D13"/>
  <c r="D12"/>
  <c r="D10"/>
  <c r="D9"/>
  <c r="D11"/>
  <c r="D15"/>
  <c r="D31"/>
  <c r="D25" s="1"/>
  <c r="D45"/>
  <c r="C54"/>
  <c r="D54"/>
  <c r="C59"/>
  <c r="D59"/>
  <c r="D58" i="197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D11"/>
  <c r="C15"/>
  <c r="D15"/>
  <c r="D31"/>
  <c r="D25" s="1"/>
  <c r="C45"/>
  <c r="D45"/>
  <c r="C54"/>
  <c r="D54"/>
  <c r="C59"/>
  <c r="D59"/>
  <c r="D61" i="194"/>
  <c r="C61"/>
  <c r="D59"/>
  <c r="C59"/>
  <c r="D58"/>
  <c r="C58"/>
  <c r="D52"/>
  <c r="C52"/>
  <c r="D51"/>
  <c r="C51"/>
  <c r="C50"/>
  <c r="D49"/>
  <c r="C49"/>
  <c r="D47"/>
  <c r="C47"/>
  <c r="D46"/>
  <c r="C46"/>
  <c r="D45"/>
  <c r="C45"/>
  <c r="D44"/>
  <c r="C44"/>
  <c r="D43"/>
  <c r="C43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C31"/>
  <c r="C25" s="1"/>
  <c r="D31"/>
  <c r="D25" s="1"/>
  <c r="C48"/>
  <c r="D48"/>
  <c r="C57"/>
  <c r="D57"/>
  <c r="C62"/>
  <c r="D62"/>
  <c r="D58" i="19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88"/>
  <c r="C58"/>
  <c r="D56"/>
  <c r="C56"/>
  <c r="D55"/>
  <c r="C55"/>
  <c r="D49"/>
  <c r="C49"/>
  <c r="D48"/>
  <c r="C48"/>
  <c r="D47"/>
  <c r="C47"/>
  <c r="D46"/>
  <c r="C46"/>
  <c r="D44"/>
  <c r="C44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85"/>
  <c r="C58"/>
  <c r="D56"/>
  <c r="C56"/>
  <c r="D55"/>
  <c r="C55"/>
  <c r="D49"/>
  <c r="D48"/>
  <c r="D47"/>
  <c r="D46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4"/>
  <c r="D23"/>
  <c r="D22"/>
  <c r="D21"/>
  <c r="D20"/>
  <c r="D19"/>
  <c r="D18"/>
  <c r="D14"/>
  <c r="D13"/>
  <c r="D12"/>
  <c r="D10"/>
  <c r="D9"/>
  <c r="D11"/>
  <c r="D15"/>
  <c r="D31"/>
  <c r="D25" s="1"/>
  <c r="D45"/>
  <c r="C54"/>
  <c r="D54"/>
  <c r="C59"/>
  <c r="D59"/>
  <c r="D58" i="182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79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176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C18"/>
  <c r="D15"/>
  <c r="D14"/>
  <c r="C14"/>
  <c r="D13"/>
  <c r="C13"/>
  <c r="D12"/>
  <c r="D11" s="1"/>
  <c r="C12"/>
  <c r="C10"/>
  <c r="D10" s="1"/>
  <c r="C9"/>
  <c r="C11"/>
  <c r="C15"/>
  <c r="C31"/>
  <c r="C25" s="1"/>
  <c r="C45"/>
  <c r="D45"/>
  <c r="C54"/>
  <c r="D54"/>
  <c r="C59"/>
  <c r="D59"/>
  <c r="D58" i="173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C9"/>
  <c r="C11"/>
  <c r="C15"/>
  <c r="D15"/>
  <c r="C31"/>
  <c r="C25" s="1"/>
  <c r="D31"/>
  <c r="D25" s="1"/>
  <c r="C45"/>
  <c r="D45"/>
  <c r="C54"/>
  <c r="D54"/>
  <c r="C59"/>
  <c r="D59"/>
  <c r="D58" i="170"/>
  <c r="C58"/>
  <c r="D56"/>
  <c r="C56"/>
  <c r="D55"/>
  <c r="C55"/>
  <c r="D49"/>
  <c r="C49"/>
  <c r="C47"/>
  <c r="D46"/>
  <c r="C46"/>
  <c r="D44"/>
  <c r="C44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67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64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6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158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155"/>
  <c r="C58"/>
  <c r="D56"/>
  <c r="C56"/>
  <c r="D55"/>
  <c r="C55"/>
  <c r="D49"/>
  <c r="C49"/>
  <c r="D48"/>
  <c r="C48"/>
  <c r="C47"/>
  <c r="D46"/>
  <c r="C46"/>
  <c r="D44"/>
  <c r="C44"/>
  <c r="D43"/>
  <c r="C43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152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C31"/>
  <c r="C25" s="1"/>
  <c r="D31"/>
  <c r="D25" s="1"/>
  <c r="C45"/>
  <c r="D45"/>
  <c r="C54"/>
  <c r="D54"/>
  <c r="C59"/>
  <c r="D59"/>
  <c r="D58" i="149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146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D15"/>
  <c r="C31"/>
  <c r="C25" s="1"/>
  <c r="D31"/>
  <c r="D25" s="1"/>
  <c r="C45"/>
  <c r="D45"/>
  <c r="C54"/>
  <c r="D54"/>
  <c r="C59"/>
  <c r="D59"/>
  <c r="D58" i="143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140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137"/>
  <c r="C58"/>
  <c r="D56"/>
  <c r="C56"/>
  <c r="D55"/>
  <c r="C55"/>
  <c r="C54" s="1"/>
  <c r="C59" s="1"/>
  <c r="D49"/>
  <c r="C49"/>
  <c r="D48"/>
  <c r="C48"/>
  <c r="D47"/>
  <c r="C47"/>
  <c r="D46"/>
  <c r="C46"/>
  <c r="C45" s="1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C31" s="1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C15"/>
  <c r="D14"/>
  <c r="C14"/>
  <c r="D13"/>
  <c r="C13"/>
  <c r="D12"/>
  <c r="C12"/>
  <c r="C11" s="1"/>
  <c r="C10"/>
  <c r="D10" s="1"/>
  <c r="D9"/>
  <c r="C9"/>
  <c r="D11"/>
  <c r="D15"/>
  <c r="D31"/>
  <c r="D25" s="1"/>
  <c r="D45"/>
  <c r="D54"/>
  <c r="D59" s="1"/>
  <c r="D58" i="134"/>
  <c r="C58"/>
  <c r="D56"/>
  <c r="C56"/>
  <c r="D55"/>
  <c r="C55"/>
  <c r="D49"/>
  <c r="C49"/>
  <c r="D48"/>
  <c r="C48"/>
  <c r="D47"/>
  <c r="C47"/>
  <c r="D46"/>
  <c r="C46"/>
  <c r="D44"/>
  <c r="C44"/>
  <c r="C43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C9"/>
  <c r="D11"/>
  <c r="C15"/>
  <c r="D15"/>
  <c r="C31"/>
  <c r="C25" s="1"/>
  <c r="D31"/>
  <c r="D25" s="1"/>
  <c r="C45"/>
  <c r="D45"/>
  <c r="C54"/>
  <c r="D54"/>
  <c r="C59"/>
  <c r="D59"/>
  <c r="D58" i="13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128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12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122"/>
  <c r="C58"/>
  <c r="D56"/>
  <c r="C56"/>
  <c r="D55"/>
  <c r="C55"/>
  <c r="D49"/>
  <c r="C49"/>
  <c r="D48"/>
  <c r="C48"/>
  <c r="D47"/>
  <c r="C47"/>
  <c r="D46"/>
  <c r="D45" s="1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54"/>
  <c r="D54"/>
  <c r="C59"/>
  <c r="D59"/>
  <c r="D58" i="119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116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C45"/>
  <c r="D45"/>
  <c r="C54"/>
  <c r="D54"/>
  <c r="C59"/>
  <c r="D59"/>
  <c r="D58" i="113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C45"/>
  <c r="D45"/>
  <c r="C54"/>
  <c r="D54"/>
  <c r="C59"/>
  <c r="D59"/>
  <c r="D58" i="110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D15"/>
  <c r="C31"/>
  <c r="C25" s="1"/>
  <c r="D31"/>
  <c r="D25" s="1"/>
  <c r="C45"/>
  <c r="D45"/>
  <c r="C54"/>
  <c r="D54"/>
  <c r="C59"/>
  <c r="D59"/>
  <c r="D58" i="107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C31" s="1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D15"/>
  <c r="D31"/>
  <c r="D25" s="1"/>
  <c r="C45"/>
  <c r="D45"/>
  <c r="C54"/>
  <c r="D54"/>
  <c r="C59"/>
  <c r="D59"/>
  <c r="D58" i="104"/>
  <c r="C58"/>
  <c r="D56"/>
  <c r="C56"/>
  <c r="D55"/>
  <c r="C55"/>
  <c r="C49"/>
  <c r="C48"/>
  <c r="C47"/>
  <c r="C46"/>
  <c r="C44"/>
  <c r="C43"/>
  <c r="C42"/>
  <c r="C41"/>
  <c r="C40"/>
  <c r="C39"/>
  <c r="C38"/>
  <c r="C37"/>
  <c r="C36"/>
  <c r="C35"/>
  <c r="C34"/>
  <c r="C33"/>
  <c r="C32"/>
  <c r="C30"/>
  <c r="C29"/>
  <c r="C28"/>
  <c r="C27"/>
  <c r="C26"/>
  <c r="C24"/>
  <c r="C23"/>
  <c r="C22"/>
  <c r="C21"/>
  <c r="C20"/>
  <c r="C19"/>
  <c r="C18"/>
  <c r="C14"/>
  <c r="C13"/>
  <c r="C12"/>
  <c r="C10"/>
  <c r="C9"/>
  <c r="C15"/>
  <c r="C31"/>
  <c r="C25" s="1"/>
  <c r="C45"/>
  <c r="C54"/>
  <c r="D54"/>
  <c r="C59"/>
  <c r="D59"/>
  <c r="D58" i="101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98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9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92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89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86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83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C45"/>
  <c r="D45"/>
  <c r="C54"/>
  <c r="D54"/>
  <c r="C59"/>
  <c r="D59"/>
  <c r="D58" i="80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77"/>
  <c r="C58"/>
  <c r="D56"/>
  <c r="C56"/>
  <c r="D55"/>
  <c r="D54" s="1"/>
  <c r="D59" s="1"/>
  <c r="C55"/>
  <c r="D49"/>
  <c r="C49"/>
  <c r="D48"/>
  <c r="C48"/>
  <c r="D47"/>
  <c r="C47"/>
  <c r="D46"/>
  <c r="D45" s="1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D31" s="1"/>
  <c r="D25" s="1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5"/>
  <c r="D14"/>
  <c r="C14"/>
  <c r="D13"/>
  <c r="C13"/>
  <c r="D12"/>
  <c r="C12"/>
  <c r="C10"/>
  <c r="D10" s="1"/>
  <c r="D9"/>
  <c r="C9"/>
  <c r="C11"/>
  <c r="C15"/>
  <c r="C31"/>
  <c r="C25" s="1"/>
  <c r="C45"/>
  <c r="C54"/>
  <c r="C59"/>
  <c r="D58" i="74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5"/>
  <c r="D14"/>
  <c r="C14"/>
  <c r="D13"/>
  <c r="C13"/>
  <c r="D12"/>
  <c r="D11" s="1"/>
  <c r="C12"/>
  <c r="C10"/>
  <c r="D10" s="1"/>
  <c r="D9"/>
  <c r="C9"/>
  <c r="C31"/>
  <c r="C25" s="1"/>
  <c r="D31"/>
  <c r="D25" s="1"/>
  <c r="C45"/>
  <c r="D45"/>
  <c r="C54"/>
  <c r="D54"/>
  <c r="C59"/>
  <c r="D59"/>
  <c r="D58" i="71"/>
  <c r="C58"/>
  <c r="D56"/>
  <c r="C56"/>
  <c r="D55"/>
  <c r="C55"/>
  <c r="D49"/>
  <c r="C49"/>
  <c r="D47"/>
  <c r="C47"/>
  <c r="D46"/>
  <c r="C46"/>
  <c r="D44"/>
  <c r="C44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68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65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62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59"/>
  <c r="C58"/>
  <c r="D56"/>
  <c r="C56"/>
  <c r="D55"/>
  <c r="C55"/>
  <c r="D49"/>
  <c r="C49"/>
  <c r="D48"/>
  <c r="C48"/>
  <c r="C47"/>
  <c r="D46"/>
  <c r="C46"/>
  <c r="D44"/>
  <c r="C44"/>
  <c r="D43"/>
  <c r="C43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1"/>
  <c r="C15"/>
  <c r="D15"/>
  <c r="C31"/>
  <c r="C25" s="1"/>
  <c r="D31"/>
  <c r="D25" s="1"/>
  <c r="C45"/>
  <c r="D45"/>
  <c r="C54"/>
  <c r="D54"/>
  <c r="C59"/>
  <c r="D59"/>
  <c r="D58" i="56"/>
  <c r="C58"/>
  <c r="D56"/>
  <c r="C56"/>
  <c r="D55"/>
  <c r="D54" s="1"/>
  <c r="D59" s="1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5"/>
  <c r="D14"/>
  <c r="C14"/>
  <c r="D13"/>
  <c r="C13"/>
  <c r="D12"/>
  <c r="D11" s="1"/>
  <c r="C12"/>
  <c r="C10"/>
  <c r="D10" s="1"/>
  <c r="C9"/>
  <c r="C11"/>
  <c r="C15"/>
  <c r="C31"/>
  <c r="C25" s="1"/>
  <c r="D31"/>
  <c r="D25" s="1"/>
  <c r="C45"/>
  <c r="D45"/>
  <c r="C54"/>
  <c r="C59" s="1"/>
  <c r="D58" i="53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C9"/>
  <c r="D11"/>
  <c r="C15"/>
  <c r="D15"/>
  <c r="C31"/>
  <c r="C25" s="1"/>
  <c r="D31"/>
  <c r="D25" s="1"/>
  <c r="C45"/>
  <c r="D45"/>
  <c r="C54"/>
  <c r="D54"/>
  <c r="C59"/>
  <c r="D59"/>
  <c r="D58" i="50"/>
  <c r="C58"/>
  <c r="D56"/>
  <c r="C56"/>
  <c r="D55"/>
  <c r="C55"/>
  <c r="D49"/>
  <c r="C49"/>
  <c r="D48"/>
  <c r="C48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47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44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C9"/>
  <c r="C11"/>
  <c r="C15"/>
  <c r="D15"/>
  <c r="C31"/>
  <c r="C25" s="1"/>
  <c r="D31"/>
  <c r="D25" s="1"/>
  <c r="C45"/>
  <c r="D45"/>
  <c r="C54"/>
  <c r="D54"/>
  <c r="C59"/>
  <c r="D59"/>
  <c r="D58" i="4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D9"/>
  <c r="C9"/>
  <c r="D11"/>
  <c r="C15"/>
  <c r="D15"/>
  <c r="C31"/>
  <c r="C25" s="1"/>
  <c r="D31"/>
  <c r="D25" s="1"/>
  <c r="C45"/>
  <c r="D45"/>
  <c r="C54"/>
  <c r="D54"/>
  <c r="C59"/>
  <c r="D59"/>
  <c r="D58" i="38"/>
  <c r="C58"/>
  <c r="D56"/>
  <c r="C56"/>
  <c r="D55"/>
  <c r="C55"/>
  <c r="D49"/>
  <c r="C49"/>
  <c r="D48"/>
  <c r="C48"/>
  <c r="C47"/>
  <c r="D46"/>
  <c r="C46"/>
  <c r="D44"/>
  <c r="C44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C15"/>
  <c r="D15"/>
  <c r="C31"/>
  <c r="C25" s="1"/>
  <c r="D31"/>
  <c r="D25" s="1"/>
  <c r="C45"/>
  <c r="D45"/>
  <c r="C54"/>
  <c r="D54"/>
  <c r="C59"/>
  <c r="D59"/>
  <c r="D58" i="35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32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29"/>
  <c r="C58"/>
  <c r="D56"/>
  <c r="C56"/>
  <c r="D55"/>
  <c r="C55"/>
  <c r="D49"/>
  <c r="C49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26"/>
  <c r="C58"/>
  <c r="D56"/>
  <c r="C56"/>
  <c r="D55"/>
  <c r="C55"/>
  <c r="D49"/>
  <c r="C49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C9"/>
  <c r="C15"/>
  <c r="D15"/>
  <c r="C31"/>
  <c r="C25" s="1"/>
  <c r="D31"/>
  <c r="D25" s="1"/>
  <c r="C45"/>
  <c r="D45"/>
  <c r="C54"/>
  <c r="D54"/>
  <c r="C59"/>
  <c r="D59"/>
  <c r="D58" i="23"/>
  <c r="C58"/>
  <c r="D56"/>
  <c r="C56"/>
  <c r="D55"/>
  <c r="C55"/>
  <c r="D49"/>
  <c r="C49"/>
  <c r="C47"/>
  <c r="D46"/>
  <c r="C46"/>
  <c r="D44"/>
  <c r="C44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20"/>
  <c r="C58"/>
  <c r="D56"/>
  <c r="C56"/>
  <c r="D55"/>
  <c r="C55"/>
  <c r="D49"/>
  <c r="C49"/>
  <c r="D47"/>
  <c r="C47"/>
  <c r="D46"/>
  <c r="C46"/>
  <c r="D44"/>
  <c r="C44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C9"/>
  <c r="C11"/>
  <c r="D11"/>
  <c r="C15"/>
  <c r="D15"/>
  <c r="C31"/>
  <c r="C25" s="1"/>
  <c r="D31"/>
  <c r="D25" s="1"/>
  <c r="C45"/>
  <c r="D45"/>
  <c r="C54"/>
  <c r="D54"/>
  <c r="C59"/>
  <c r="D59"/>
  <c r="D58" i="17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D11"/>
  <c r="D15"/>
  <c r="C31"/>
  <c r="C25" s="1"/>
  <c r="D31"/>
  <c r="D25" s="1"/>
  <c r="C45"/>
  <c r="D45"/>
  <c r="C54"/>
  <c r="D54"/>
  <c r="C59"/>
  <c r="D59"/>
  <c r="D58" i="14"/>
  <c r="C58"/>
  <c r="D56"/>
  <c r="C56"/>
  <c r="D55"/>
  <c r="C55"/>
  <c r="D49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1" s="1"/>
  <c r="C10"/>
  <c r="D10" s="1"/>
  <c r="C9"/>
  <c r="D11"/>
  <c r="C15"/>
  <c r="D15"/>
  <c r="C31"/>
  <c r="C25" s="1"/>
  <c r="D31"/>
  <c r="D25" s="1"/>
  <c r="C45"/>
  <c r="D45"/>
  <c r="C54"/>
  <c r="D54"/>
  <c r="C59"/>
  <c r="D59"/>
  <c r="D58" i="11"/>
  <c r="C58"/>
  <c r="D56"/>
  <c r="C56"/>
  <c r="D55"/>
  <c r="C55"/>
  <c r="D49"/>
  <c r="C49"/>
  <c r="C47"/>
  <c r="D46"/>
  <c r="C46"/>
  <c r="D44"/>
  <c r="C44"/>
  <c r="D43"/>
  <c r="C43"/>
  <c r="D42"/>
  <c r="C42"/>
  <c r="D41"/>
  <c r="C41"/>
  <c r="D40"/>
  <c r="C40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C9"/>
  <c r="C11"/>
  <c r="C15"/>
  <c r="D15"/>
  <c r="C31"/>
  <c r="C25" s="1"/>
  <c r="D31"/>
  <c r="D25" s="1"/>
  <c r="C45"/>
  <c r="D45"/>
  <c r="C54"/>
  <c r="D54"/>
  <c r="C59"/>
  <c r="D59"/>
  <c r="D58" i="8"/>
  <c r="C58"/>
  <c r="D56"/>
  <c r="C56"/>
  <c r="D55"/>
  <c r="C55"/>
  <c r="C49"/>
  <c r="D48"/>
  <c r="C48"/>
  <c r="D47"/>
  <c r="C47"/>
  <c r="D46"/>
  <c r="C46"/>
  <c r="D44"/>
  <c r="C44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D15"/>
  <c r="C31"/>
  <c r="C25" s="1"/>
  <c r="D31"/>
  <c r="D25" s="1"/>
  <c r="C45"/>
  <c r="D45"/>
  <c r="C54"/>
  <c r="D54"/>
  <c r="C59"/>
  <c r="D59"/>
  <c r="D58" i="5"/>
  <c r="C58"/>
  <c r="D56"/>
  <c r="C56"/>
  <c r="D55"/>
  <c r="C55"/>
  <c r="C49"/>
  <c r="D48"/>
  <c r="C48"/>
  <c r="D47"/>
  <c r="C47"/>
  <c r="D46"/>
  <c r="C46"/>
  <c r="D44"/>
  <c r="C44"/>
  <c r="D43"/>
  <c r="C43"/>
  <c r="D42"/>
  <c r="C42"/>
  <c r="D41"/>
  <c r="C41"/>
  <c r="D40"/>
  <c r="C40"/>
  <c r="C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D11" s="1"/>
  <c r="C12"/>
  <c r="C10"/>
  <c r="D10" s="1"/>
  <c r="D9"/>
  <c r="C9"/>
  <c r="C15"/>
  <c r="D15"/>
  <c r="C31"/>
  <c r="C25" s="1"/>
  <c r="D31"/>
  <c r="D25" s="1"/>
  <c r="C45"/>
  <c r="D45"/>
  <c r="C54"/>
  <c r="D54"/>
  <c r="C59"/>
  <c r="D59"/>
  <c r="D58" i="1"/>
  <c r="C58"/>
  <c r="D56"/>
  <c r="C56"/>
  <c r="D55"/>
  <c r="C55"/>
  <c r="D49"/>
  <c r="C49"/>
  <c r="D48"/>
  <c r="C48"/>
  <c r="D47"/>
  <c r="C47"/>
  <c r="D46"/>
  <c r="C46"/>
  <c r="D44"/>
  <c r="C44"/>
  <c r="D43"/>
  <c r="C43"/>
  <c r="D42"/>
  <c r="C42"/>
  <c r="D41"/>
  <c r="C41"/>
  <c r="D40"/>
  <c r="C40"/>
  <c r="D39"/>
  <c r="D38"/>
  <c r="C38"/>
  <c r="D37"/>
  <c r="C37"/>
  <c r="D36"/>
  <c r="C36"/>
  <c r="D35"/>
  <c r="C35"/>
  <c r="D34"/>
  <c r="C34"/>
  <c r="D33"/>
  <c r="C33"/>
  <c r="D32"/>
  <c r="C32"/>
  <c r="D30"/>
  <c r="C30"/>
  <c r="D29"/>
  <c r="C29"/>
  <c r="D28"/>
  <c r="C28"/>
  <c r="D27"/>
  <c r="C27"/>
  <c r="D26"/>
  <c r="C26"/>
  <c r="D24"/>
  <c r="C24"/>
  <c r="D23"/>
  <c r="C23"/>
  <c r="D22"/>
  <c r="C22"/>
  <c r="D21"/>
  <c r="C21"/>
  <c r="D20"/>
  <c r="C20"/>
  <c r="D19"/>
  <c r="C19"/>
  <c r="D18"/>
  <c r="C18"/>
  <c r="D14"/>
  <c r="C14"/>
  <c r="D13"/>
  <c r="C13"/>
  <c r="D12"/>
  <c r="C12"/>
  <c r="C10"/>
  <c r="D10" s="1"/>
  <c r="D9"/>
  <c r="C9"/>
  <c r="C11"/>
  <c r="C15"/>
  <c r="D15"/>
  <c r="C31"/>
  <c r="C25" s="1"/>
  <c r="D31"/>
  <c r="D25" s="1"/>
  <c r="C45"/>
  <c r="D45"/>
  <c r="C54"/>
  <c r="C59" s="1"/>
  <c r="D54"/>
  <c r="D59" s="1"/>
  <c r="D11" l="1"/>
  <c r="D25" i="314"/>
  <c r="D25" i="212"/>
  <c r="C25" i="137"/>
  <c r="C59" i="383"/>
  <c r="C11" i="404"/>
  <c r="D8"/>
  <c r="C8"/>
  <c r="D50"/>
  <c r="C11" i="401"/>
  <c r="D8"/>
  <c r="C8"/>
  <c r="D50"/>
  <c r="D8" i="398"/>
  <c r="C8"/>
  <c r="D50"/>
  <c r="D8" i="395"/>
  <c r="C8"/>
  <c r="D50"/>
  <c r="D8" i="392"/>
  <c r="C8"/>
  <c r="D50"/>
  <c r="C11" i="389"/>
  <c r="D8"/>
  <c r="C8"/>
  <c r="D50"/>
  <c r="C15" i="386"/>
  <c r="C11"/>
  <c r="C25"/>
  <c r="D8"/>
  <c r="D50" s="1"/>
  <c r="D25" i="383"/>
  <c r="D59"/>
  <c r="D8"/>
  <c r="C8"/>
  <c r="D50"/>
  <c r="D8" i="380"/>
  <c r="C8"/>
  <c r="D50"/>
  <c r="D8" i="377"/>
  <c r="C8"/>
  <c r="D50"/>
  <c r="D8" i="374"/>
  <c r="C8"/>
  <c r="D50"/>
  <c r="D8" i="371"/>
  <c r="C8"/>
  <c r="D50"/>
  <c r="C11" i="368"/>
  <c r="C8" s="1"/>
  <c r="C50" s="1"/>
  <c r="D8"/>
  <c r="D50" s="1"/>
  <c r="D8" i="365"/>
  <c r="C8"/>
  <c r="D50"/>
  <c r="C11" i="362"/>
  <c r="D8"/>
  <c r="C8"/>
  <c r="D50"/>
  <c r="D8" i="359"/>
  <c r="C8"/>
  <c r="D50"/>
  <c r="D8" i="356"/>
  <c r="C8"/>
  <c r="D50"/>
  <c r="D8" i="353"/>
  <c r="C8"/>
  <c r="D50"/>
  <c r="D8" i="350"/>
  <c r="C8"/>
  <c r="D50"/>
  <c r="C11" i="347"/>
  <c r="D8"/>
  <c r="D50" s="1"/>
  <c r="D8" i="344"/>
  <c r="C8"/>
  <c r="D50"/>
  <c r="D11" i="341"/>
  <c r="D8" s="1"/>
  <c r="D50" s="1"/>
  <c r="C8"/>
  <c r="D8" i="338"/>
  <c r="C8"/>
  <c r="D50"/>
  <c r="D8" i="335"/>
  <c r="C8"/>
  <c r="D50"/>
  <c r="D8" i="332"/>
  <c r="D50" s="1"/>
  <c r="D8" i="329"/>
  <c r="C8"/>
  <c r="D50"/>
  <c r="D8" i="326"/>
  <c r="D50" s="1"/>
  <c r="D8" i="323"/>
  <c r="C8"/>
  <c r="D50"/>
  <c r="D8" i="320"/>
  <c r="C8"/>
  <c r="D50"/>
  <c r="C11" i="317"/>
  <c r="C8" s="1"/>
  <c r="D25"/>
  <c r="D8"/>
  <c r="D8" i="314"/>
  <c r="C8"/>
  <c r="D50"/>
  <c r="C8" i="311"/>
  <c r="D8"/>
  <c r="C50"/>
  <c r="D50"/>
  <c r="D8" i="308"/>
  <c r="C8"/>
  <c r="D50"/>
  <c r="D50" i="305"/>
  <c r="D50" i="302"/>
  <c r="D8" i="299"/>
  <c r="C8"/>
  <c r="D50"/>
  <c r="D8" i="296"/>
  <c r="D50" s="1"/>
  <c r="D8" i="293"/>
  <c r="D50" s="1"/>
  <c r="D8" i="290"/>
  <c r="C8"/>
  <c r="D50"/>
  <c r="D45" i="287"/>
  <c r="D8"/>
  <c r="C8"/>
  <c r="D50"/>
  <c r="D11" i="284"/>
  <c r="D8" s="1"/>
  <c r="D50" s="1"/>
  <c r="C8"/>
  <c r="D15" i="281"/>
  <c r="D8" s="1"/>
  <c r="D50" s="1"/>
  <c r="C8"/>
  <c r="C15" i="278"/>
  <c r="D8"/>
  <c r="C8"/>
  <c r="D50"/>
  <c r="D11" i="275"/>
  <c r="D8" s="1"/>
  <c r="D50" s="1"/>
  <c r="C8"/>
  <c r="D59" i="272"/>
  <c r="C15"/>
  <c r="C11"/>
  <c r="C59"/>
  <c r="C25"/>
  <c r="C8"/>
  <c r="D8"/>
  <c r="D8" i="269"/>
  <c r="C8"/>
  <c r="D50"/>
  <c r="D15" i="266"/>
  <c r="C15"/>
  <c r="D8"/>
  <c r="C8"/>
  <c r="D50"/>
  <c r="D8" i="263"/>
  <c r="C8"/>
  <c r="D50"/>
  <c r="C45" i="260"/>
  <c r="D8"/>
  <c r="C8"/>
  <c r="D50"/>
  <c r="D11" i="257"/>
  <c r="D8" s="1"/>
  <c r="D50" s="1"/>
  <c r="C8"/>
  <c r="D15" i="254"/>
  <c r="D8" s="1"/>
  <c r="D50" s="1"/>
  <c r="C8"/>
  <c r="D8" i="251"/>
  <c r="C8"/>
  <c r="D50"/>
  <c r="C11" i="248"/>
  <c r="D8"/>
  <c r="C8"/>
  <c r="D50"/>
  <c r="D8" i="245"/>
  <c r="C8"/>
  <c r="D50"/>
  <c r="D8" i="242"/>
  <c r="C8"/>
  <c r="D50"/>
  <c r="D8" i="239"/>
  <c r="C8"/>
  <c r="D50"/>
  <c r="C11" i="236"/>
  <c r="C8" s="1"/>
  <c r="C50" s="1"/>
  <c r="D8"/>
  <c r="D50" s="1"/>
  <c r="D8" i="233"/>
  <c r="D50" s="1"/>
  <c r="D8" i="230"/>
  <c r="C8"/>
  <c r="D50"/>
  <c r="D8" i="227"/>
  <c r="C8"/>
  <c r="D50"/>
  <c r="D8" i="224"/>
  <c r="C8"/>
  <c r="D50"/>
  <c r="D8" i="221"/>
  <c r="C8"/>
  <c r="D50"/>
  <c r="C11" i="218"/>
  <c r="C15"/>
  <c r="D8"/>
  <c r="C8"/>
  <c r="D50"/>
  <c r="D8" i="215"/>
  <c r="C8"/>
  <c r="D50"/>
  <c r="D8" i="212"/>
  <c r="C8"/>
  <c r="D50"/>
  <c r="D8" i="209"/>
  <c r="C8"/>
  <c r="D50"/>
  <c r="D8" i="206"/>
  <c r="C8"/>
  <c r="D50"/>
  <c r="D8" i="203"/>
  <c r="C8"/>
  <c r="D50"/>
  <c r="D8" i="200"/>
  <c r="D50" s="1"/>
  <c r="C11" i="197"/>
  <c r="C31"/>
  <c r="D8"/>
  <c r="C8"/>
  <c r="D50"/>
  <c r="D15" i="194"/>
  <c r="D8" s="1"/>
  <c r="D53" s="1"/>
  <c r="C8"/>
  <c r="D8" i="191"/>
  <c r="C8"/>
  <c r="D50"/>
  <c r="D8" i="188"/>
  <c r="C8"/>
  <c r="D50"/>
  <c r="D8" i="185"/>
  <c r="D50" s="1"/>
  <c r="D8" i="182"/>
  <c r="C8"/>
  <c r="D50"/>
  <c r="C8" i="179"/>
  <c r="D8"/>
  <c r="C50"/>
  <c r="D50"/>
  <c r="D31" i="176"/>
  <c r="D8"/>
  <c r="C8"/>
  <c r="D8" i="173"/>
  <c r="C8"/>
  <c r="D50"/>
  <c r="D8" i="170"/>
  <c r="C8"/>
  <c r="D50"/>
  <c r="D8" i="167"/>
  <c r="C8"/>
  <c r="D50"/>
  <c r="D8" i="164"/>
  <c r="C8"/>
  <c r="D50"/>
  <c r="C8" i="161"/>
  <c r="D8"/>
  <c r="C50"/>
  <c r="D50"/>
  <c r="D11" i="158"/>
  <c r="D8" s="1"/>
  <c r="D50" s="1"/>
  <c r="C8"/>
  <c r="D8" i="155"/>
  <c r="C8"/>
  <c r="D50"/>
  <c r="D15" i="152"/>
  <c r="D8" s="1"/>
  <c r="D50" s="1"/>
  <c r="C8"/>
  <c r="D8" i="149"/>
  <c r="C8"/>
  <c r="D50"/>
  <c r="C15" i="146"/>
  <c r="D8"/>
  <c r="C8"/>
  <c r="D50"/>
  <c r="D8" i="143"/>
  <c r="C8"/>
  <c r="D50"/>
  <c r="D8" i="140"/>
  <c r="C8"/>
  <c r="D50"/>
  <c r="C8" i="137"/>
  <c r="D8"/>
  <c r="C50"/>
  <c r="D50"/>
  <c r="D8" i="134"/>
  <c r="C8"/>
  <c r="D50"/>
  <c r="C11" i="131"/>
  <c r="D8"/>
  <c r="C8"/>
  <c r="D50"/>
  <c r="D8" i="128"/>
  <c r="C8"/>
  <c r="D50"/>
  <c r="D8" i="125"/>
  <c r="C8"/>
  <c r="D50"/>
  <c r="C45" i="122"/>
  <c r="D8"/>
  <c r="C8"/>
  <c r="D50"/>
  <c r="D8" i="119"/>
  <c r="C8"/>
  <c r="D50"/>
  <c r="D31" i="116"/>
  <c r="D8"/>
  <c r="C8"/>
  <c r="D25" i="113"/>
  <c r="D8"/>
  <c r="C8"/>
  <c r="C11" i="110"/>
  <c r="C15"/>
  <c r="C8" s="1"/>
  <c r="C50" s="1"/>
  <c r="D8"/>
  <c r="D50" s="1"/>
  <c r="C15" i="107"/>
  <c r="C11"/>
  <c r="C25"/>
  <c r="D8"/>
  <c r="C8"/>
  <c r="D50"/>
  <c r="C11" i="104"/>
  <c r="D50"/>
  <c r="D8" i="101"/>
  <c r="C8"/>
  <c r="D50"/>
  <c r="D11" i="98"/>
  <c r="D8" s="1"/>
  <c r="D50" s="1"/>
  <c r="C8"/>
  <c r="D8" i="95"/>
  <c r="C8"/>
  <c r="D50"/>
  <c r="D8" i="92"/>
  <c r="C8"/>
  <c r="D50"/>
  <c r="D8" i="89"/>
  <c r="C8"/>
  <c r="D50"/>
  <c r="D8" i="86"/>
  <c r="C8"/>
  <c r="D50"/>
  <c r="D25" i="83"/>
  <c r="D8"/>
  <c r="C8"/>
  <c r="D8" i="80"/>
  <c r="C8"/>
  <c r="D50"/>
  <c r="D11" i="77"/>
  <c r="D8" s="1"/>
  <c r="D50" s="1"/>
  <c r="C8"/>
  <c r="C11" i="74"/>
  <c r="C15"/>
  <c r="D8"/>
  <c r="D50" s="1"/>
  <c r="C11" i="71"/>
  <c r="D8"/>
  <c r="C8"/>
  <c r="D50"/>
  <c r="D8" i="68"/>
  <c r="C8"/>
  <c r="D50"/>
  <c r="D8" i="65"/>
  <c r="C8"/>
  <c r="D50"/>
  <c r="D8" i="62"/>
  <c r="C8"/>
  <c r="D50"/>
  <c r="C8" i="59"/>
  <c r="D8"/>
  <c r="C50"/>
  <c r="D50"/>
  <c r="D8" i="56"/>
  <c r="D50" s="1"/>
  <c r="C8"/>
  <c r="D8" i="53"/>
  <c r="D50" s="1"/>
  <c r="C8"/>
  <c r="D8" i="50"/>
  <c r="D50" s="1"/>
  <c r="C8"/>
  <c r="D8" i="47"/>
  <c r="D50" s="1"/>
  <c r="C8"/>
  <c r="C8" i="44"/>
  <c r="D8"/>
  <c r="D50" s="1"/>
  <c r="C50"/>
  <c r="D8" i="41"/>
  <c r="C8"/>
  <c r="D50"/>
  <c r="D8" i="38"/>
  <c r="C8"/>
  <c r="D50"/>
  <c r="D8" i="35"/>
  <c r="D50" s="1"/>
  <c r="C8"/>
  <c r="D8" i="32"/>
  <c r="D50" s="1"/>
  <c r="C8"/>
  <c r="D8" i="29"/>
  <c r="D50" s="1"/>
  <c r="C8"/>
  <c r="C11" i="26"/>
  <c r="D8"/>
  <c r="D50" s="1"/>
  <c r="C8"/>
  <c r="D8" i="23"/>
  <c r="C8"/>
  <c r="D8" i="20"/>
  <c r="D50" s="1"/>
  <c r="C8"/>
  <c r="C15" i="17"/>
  <c r="C8" s="1"/>
  <c r="D8"/>
  <c r="D50" s="1"/>
  <c r="D8" i="14"/>
  <c r="D50" s="1"/>
  <c r="C8"/>
  <c r="D8" i="11"/>
  <c r="D50" s="1"/>
  <c r="C8"/>
  <c r="C11" i="8"/>
  <c r="C15"/>
  <c r="D8"/>
  <c r="D50" s="1"/>
  <c r="C11" i="5"/>
  <c r="D8"/>
  <c r="C8"/>
  <c r="D8" i="1"/>
  <c r="D50" s="1"/>
  <c r="C8"/>
  <c r="C8" i="386" l="1"/>
  <c r="C8" i="74"/>
  <c r="C8" i="8"/>
  <c r="D61" i="404"/>
  <c r="C50"/>
  <c r="D61" i="401"/>
  <c r="C50"/>
  <c r="D62" i="398"/>
  <c r="C50"/>
  <c r="D62" i="395"/>
  <c r="C50"/>
  <c r="C50" i="392"/>
  <c r="D61"/>
  <c r="C50" i="389"/>
  <c r="D61"/>
  <c r="D61" i="386"/>
  <c r="C50"/>
  <c r="D61" i="383"/>
  <c r="C50"/>
  <c r="C50" i="380"/>
  <c r="D61"/>
  <c r="C50" i="377"/>
  <c r="D61"/>
  <c r="C50" i="374"/>
  <c r="D61"/>
  <c r="C50" i="371"/>
  <c r="D61"/>
  <c r="C61" i="368"/>
  <c r="D61"/>
  <c r="D61" i="365"/>
  <c r="C50"/>
  <c r="D61" i="362"/>
  <c r="C50"/>
  <c r="D61" i="359"/>
  <c r="C50"/>
  <c r="C50" i="356"/>
  <c r="D61"/>
  <c r="D61" i="353"/>
  <c r="C50"/>
  <c r="C50" i="350"/>
  <c r="D61"/>
  <c r="D61" i="347"/>
  <c r="C8"/>
  <c r="D61" i="344"/>
  <c r="C50"/>
  <c r="D61" i="341"/>
  <c r="C50"/>
  <c r="C50" i="338"/>
  <c r="D61"/>
  <c r="D61" i="335"/>
  <c r="C50"/>
  <c r="C50" i="332"/>
  <c r="D61"/>
  <c r="D61" i="329"/>
  <c r="C50"/>
  <c r="D61" i="326"/>
  <c r="C50"/>
  <c r="D61" i="323"/>
  <c r="C50"/>
  <c r="D61" i="320"/>
  <c r="C50"/>
  <c r="C50" i="317"/>
  <c r="D50"/>
  <c r="C50" i="314"/>
  <c r="D61"/>
  <c r="C61" i="311"/>
  <c r="D61"/>
  <c r="D61" i="308"/>
  <c r="C50"/>
  <c r="C50" i="305"/>
  <c r="D61"/>
  <c r="C50" i="302"/>
  <c r="D61"/>
  <c r="D61" i="299"/>
  <c r="C50"/>
  <c r="D61" i="296"/>
  <c r="C50"/>
  <c r="C50" i="293"/>
  <c r="D61"/>
  <c r="C50" i="290"/>
  <c r="D61"/>
  <c r="C50" i="287"/>
  <c r="D61"/>
  <c r="D61" i="284"/>
  <c r="C50"/>
  <c r="C50" i="281"/>
  <c r="D61"/>
  <c r="D61" i="278"/>
  <c r="C50"/>
  <c r="D61" i="275"/>
  <c r="C50"/>
  <c r="C50" i="272"/>
  <c r="D50"/>
  <c r="D61" i="269"/>
  <c r="C50"/>
  <c r="D61" i="266"/>
  <c r="C50"/>
  <c r="C50" i="263"/>
  <c r="D61"/>
  <c r="D61" i="260"/>
  <c r="C50"/>
  <c r="D61" i="257"/>
  <c r="C50"/>
  <c r="D61" i="254"/>
  <c r="C50"/>
  <c r="C50" i="251"/>
  <c r="D61"/>
  <c r="C50" i="248"/>
  <c r="D61"/>
  <c r="C50" i="245"/>
  <c r="D61"/>
  <c r="D61" i="242"/>
  <c r="C50"/>
  <c r="D61" i="239"/>
  <c r="C50"/>
  <c r="D61" i="236"/>
  <c r="C61"/>
  <c r="D61" i="233"/>
  <c r="C50"/>
  <c r="D61" i="230"/>
  <c r="C50"/>
  <c r="D61" i="227"/>
  <c r="C50"/>
  <c r="C50" i="224"/>
  <c r="D61"/>
  <c r="D61" i="221"/>
  <c r="C50"/>
  <c r="C50" i="218"/>
  <c r="D61"/>
  <c r="D61" i="215"/>
  <c r="C50"/>
  <c r="D61" i="212"/>
  <c r="C50"/>
  <c r="D61" i="209"/>
  <c r="C50"/>
  <c r="D61" i="206"/>
  <c r="C50"/>
  <c r="C50" i="203"/>
  <c r="D61"/>
  <c r="C50" i="200"/>
  <c r="D61"/>
  <c r="D61" i="197"/>
  <c r="C25"/>
  <c r="C50"/>
  <c r="C53" i="194"/>
  <c r="D64"/>
  <c r="D61" i="191"/>
  <c r="C50"/>
  <c r="D61" i="188"/>
  <c r="C50"/>
  <c r="D61" i="185"/>
  <c r="C50"/>
  <c r="D61" i="182"/>
  <c r="C50"/>
  <c r="C61" i="179"/>
  <c r="D61"/>
  <c r="C50" i="176"/>
  <c r="D25"/>
  <c r="C50" i="173"/>
  <c r="D61"/>
  <c r="D61" i="170"/>
  <c r="C50"/>
  <c r="D61" i="167"/>
  <c r="C50"/>
  <c r="D61" i="164"/>
  <c r="C50"/>
  <c r="C61" i="161"/>
  <c r="D61"/>
  <c r="D61" i="158"/>
  <c r="C50"/>
  <c r="D61" i="155"/>
  <c r="C50"/>
  <c r="D61" i="152"/>
  <c r="C50"/>
  <c r="C50" i="149"/>
  <c r="D61"/>
  <c r="D61" i="146"/>
  <c r="C50"/>
  <c r="D61" i="143"/>
  <c r="C50"/>
  <c r="D61" i="140"/>
  <c r="C50"/>
  <c r="C61" i="137"/>
  <c r="D61"/>
  <c r="C50" i="134"/>
  <c r="D61"/>
  <c r="D61" i="131"/>
  <c r="C50"/>
  <c r="D61" i="128"/>
  <c r="C50"/>
  <c r="C50" i="125"/>
  <c r="D61"/>
  <c r="C50" i="122"/>
  <c r="D61"/>
  <c r="C50" i="119"/>
  <c r="D61"/>
  <c r="D25" i="116"/>
  <c r="C50"/>
  <c r="C50" i="113"/>
  <c r="D50"/>
  <c r="D61" i="110"/>
  <c r="C61"/>
  <c r="D61" i="107"/>
  <c r="C50"/>
  <c r="D61" i="104"/>
  <c r="C8"/>
  <c r="C50" i="101"/>
  <c r="D61"/>
  <c r="D61" i="98"/>
  <c r="C50"/>
  <c r="D61" i="95"/>
  <c r="C50"/>
  <c r="C50" i="92"/>
  <c r="D61"/>
  <c r="D61" i="89"/>
  <c r="C50"/>
  <c r="C50" i="86"/>
  <c r="D61"/>
  <c r="C50" i="83"/>
  <c r="D50"/>
  <c r="D61" i="80"/>
  <c r="C50"/>
  <c r="D61" i="77"/>
  <c r="C50"/>
  <c r="C50" i="74"/>
  <c r="D61"/>
  <c r="C50" i="71"/>
  <c r="D61"/>
  <c r="C50" i="68"/>
  <c r="D61"/>
  <c r="C50" i="65"/>
  <c r="D61"/>
  <c r="C50" i="62"/>
  <c r="D61"/>
  <c r="D61" i="59"/>
  <c r="C61"/>
  <c r="C50" i="56"/>
  <c r="D61"/>
  <c r="C50" i="53"/>
  <c r="D61"/>
  <c r="D61" i="50"/>
  <c r="C50"/>
  <c r="D61" i="47"/>
  <c r="C50"/>
  <c r="D61" i="44"/>
  <c r="C61"/>
  <c r="C50" i="41"/>
  <c r="D61"/>
  <c r="D61" i="38"/>
  <c r="C50"/>
  <c r="D61" i="35"/>
  <c r="C50"/>
  <c r="D61" i="32"/>
  <c r="C50"/>
  <c r="D61" i="29"/>
  <c r="C50"/>
  <c r="D61" i="26"/>
  <c r="C50"/>
  <c r="D50" i="23"/>
  <c r="C50"/>
  <c r="D61" i="20"/>
  <c r="C50"/>
  <c r="D61" i="17"/>
  <c r="C50"/>
  <c r="C50" i="14"/>
  <c r="D61"/>
  <c r="D61" i="11"/>
  <c r="C50"/>
  <c r="D61" i="8"/>
  <c r="D50" i="5"/>
  <c r="C50"/>
  <c r="C50" i="1"/>
  <c r="D61"/>
  <c r="C50" i="8" l="1"/>
  <c r="C61" i="404"/>
  <c r="C61" i="401"/>
  <c r="C62" i="398"/>
  <c r="C62" i="395"/>
  <c r="C61" i="392"/>
  <c r="C61" i="389"/>
  <c r="C61" i="386"/>
  <c r="C61" i="383"/>
  <c r="C61" i="380"/>
  <c r="C61" i="377"/>
  <c r="C61" i="374"/>
  <c r="C61" i="371"/>
  <c r="C61" i="365"/>
  <c r="C61" i="362"/>
  <c r="C61" i="359"/>
  <c r="C61" i="356"/>
  <c r="C61" i="353"/>
  <c r="C61" i="350"/>
  <c r="C50" i="347"/>
  <c r="C61" i="344"/>
  <c r="C61" i="341"/>
  <c r="C61" i="338"/>
  <c r="C61" i="335"/>
  <c r="C61" i="332"/>
  <c r="C61" i="329"/>
  <c r="C61" i="326"/>
  <c r="C61" i="323"/>
  <c r="C61" i="320"/>
  <c r="D61" i="317"/>
  <c r="C61"/>
  <c r="C61" i="314"/>
  <c r="C61" i="308"/>
  <c r="C61" i="305"/>
  <c r="C61" i="302"/>
  <c r="C61" i="299"/>
  <c r="C61" i="296"/>
  <c r="C61" i="293"/>
  <c r="C61" i="290"/>
  <c r="C61" i="287"/>
  <c r="C61" i="284"/>
  <c r="C61" i="281"/>
  <c r="C61" i="278"/>
  <c r="C61" i="275"/>
  <c r="D61" i="272"/>
  <c r="C61"/>
  <c r="C61" i="269"/>
  <c r="C61" i="266"/>
  <c r="C61" i="263"/>
  <c r="C61" i="260"/>
  <c r="C61" i="257"/>
  <c r="C61" i="254"/>
  <c r="C61" i="251"/>
  <c r="C61" i="248"/>
  <c r="C61" i="245"/>
  <c r="C61" i="242"/>
  <c r="C61" i="239"/>
  <c r="C61" i="233"/>
  <c r="C61" i="230"/>
  <c r="C61" i="227"/>
  <c r="C61" i="224"/>
  <c r="C61" i="221"/>
  <c r="C61" i="218"/>
  <c r="C61" i="215"/>
  <c r="C61" i="212"/>
  <c r="C61" i="209"/>
  <c r="C61" i="206"/>
  <c r="C61" i="203"/>
  <c r="C61" i="200"/>
  <c r="C61" i="197"/>
  <c r="C64" i="194"/>
  <c r="C61" i="191"/>
  <c r="C61" i="188"/>
  <c r="C61" i="185"/>
  <c r="C61" i="182"/>
  <c r="D50" i="176"/>
  <c r="C61"/>
  <c r="C61" i="173"/>
  <c r="C61" i="170"/>
  <c r="C61" i="167"/>
  <c r="C61" i="164"/>
  <c r="C61" i="158"/>
  <c r="C61" i="155"/>
  <c r="C61" i="152"/>
  <c r="C61" i="149"/>
  <c r="C61" i="146"/>
  <c r="C61" i="143"/>
  <c r="C61" i="140"/>
  <c r="C61" i="134"/>
  <c r="C61" i="131"/>
  <c r="C61" i="128"/>
  <c r="C61" i="125"/>
  <c r="C61" i="122"/>
  <c r="C61" i="119"/>
  <c r="C61" i="116"/>
  <c r="D50"/>
  <c r="D61" i="113"/>
  <c r="C61"/>
  <c r="C61" i="107"/>
  <c r="C50" i="104"/>
  <c r="C61" i="101"/>
  <c r="C61" i="98"/>
  <c r="C61" i="95"/>
  <c r="C61" i="92"/>
  <c r="C61" i="89"/>
  <c r="C61" i="86"/>
  <c r="D61" i="83"/>
  <c r="C61"/>
  <c r="C61" i="80"/>
  <c r="C61" i="77"/>
  <c r="C61" i="74"/>
  <c r="C61" i="71"/>
  <c r="C61" i="68"/>
  <c r="C61" i="65"/>
  <c r="C61" i="62"/>
  <c r="C61" i="56"/>
  <c r="C61" i="53"/>
  <c r="C61" i="50"/>
  <c r="C61" i="47"/>
  <c r="C61" i="41"/>
  <c r="C61" i="38"/>
  <c r="C61" i="35"/>
  <c r="C61" i="32"/>
  <c r="C61" i="29"/>
  <c r="C61" i="26"/>
  <c r="C61" i="23"/>
  <c r="D61"/>
  <c r="C61" i="20"/>
  <c r="C61" i="17"/>
  <c r="C61" i="14"/>
  <c r="C61" i="11"/>
  <c r="C61" i="5"/>
  <c r="D61"/>
  <c r="C61" i="1"/>
  <c r="C61" i="8" l="1"/>
  <c r="C61" i="347"/>
  <c r="D61" i="176"/>
  <c r="D61" i="116"/>
  <c r="C61" i="104"/>
</calcChain>
</file>

<file path=xl/sharedStrings.xml><?xml version="1.0" encoding="utf-8"?>
<sst xmlns="http://schemas.openxmlformats.org/spreadsheetml/2006/main" count="43341" uniqueCount="511">
  <si>
    <t>1::7943::4095::3</t>
  </si>
  <si>
    <t>1::7943::4095::4</t>
  </si>
  <si>
    <t>2::519::4095::3</t>
  </si>
  <si>
    <t>2::519::4095::4</t>
  </si>
  <si>
    <t>3::519::4095::3</t>
  </si>
  <si>
    <t>3::519::4095::4</t>
  </si>
  <si>
    <t>4::519::4095::3</t>
  </si>
  <si>
    <t>4::519::4095::4</t>
  </si>
  <si>
    <t>5::519::4095::3</t>
  </si>
  <si>
    <t>5::519::4095::4</t>
  </si>
  <si>
    <t>6::519::4095::3</t>
  </si>
  <si>
    <t>6::519::4095::4</t>
  </si>
  <si>
    <t>7::519::4095::3</t>
  </si>
  <si>
    <t>7::519::4095::4</t>
  </si>
  <si>
    <t>8::519::4095::3</t>
  </si>
  <si>
    <t>8::519::4095::4</t>
  </si>
  <si>
    <t>9::519::4095::3</t>
  </si>
  <si>
    <t>9::519::4095::4</t>
  </si>
  <si>
    <t>10::519::4095::3</t>
  </si>
  <si>
    <t>10::519::4095::4</t>
  </si>
  <si>
    <t>11::519::4095::3</t>
  </si>
  <si>
    <t>11::519::4095::4</t>
  </si>
  <si>
    <t>12::519::4095::3</t>
  </si>
  <si>
    <t>12::519::4095::4</t>
  </si>
  <si>
    <t>13::519::4095::3</t>
  </si>
  <si>
    <t>13::519::4095::4</t>
  </si>
  <si>
    <t>14::519::4095::3</t>
  </si>
  <si>
    <t>14::519::4095::4</t>
  </si>
  <si>
    <t>15::519::4095::3</t>
  </si>
  <si>
    <t>15::519::4095::4</t>
  </si>
  <si>
    <t>16::519::4095::3</t>
  </si>
  <si>
    <t>16::519::4095::4</t>
  </si>
  <si>
    <t>17::519::4095::3</t>
  </si>
  <si>
    <t>17::519::4095::4</t>
  </si>
  <si>
    <t>18::519::4095::3</t>
  </si>
  <si>
    <t>18::519::4095::4</t>
  </si>
  <si>
    <t>19::519::4095::3</t>
  </si>
  <si>
    <t>19::519::4095::4</t>
  </si>
  <si>
    <t>20::519::4095::3</t>
  </si>
  <si>
    <t>20::519::4095::4</t>
  </si>
  <si>
    <t>21::519::4095::3</t>
  </si>
  <si>
    <t>21::519::4095::4</t>
  </si>
  <si>
    <t>22::519::4095::3</t>
  </si>
  <si>
    <t>22::519::4095::4</t>
  </si>
  <si>
    <t>23::519::4095::3</t>
  </si>
  <si>
    <t>23::519::4095::4</t>
  </si>
  <si>
    <t>24::519::4095::3</t>
  </si>
  <si>
    <t>24::519::4095::4</t>
  </si>
  <si>
    <t>25::519::4095::3</t>
  </si>
  <si>
    <t>25::519::4095::4</t>
  </si>
  <si>
    <t>26::519::4095::3</t>
  </si>
  <si>
    <t>26::519::4095::4</t>
  </si>
  <si>
    <t>27::519::4095::3</t>
  </si>
  <si>
    <t>27::519::4095::4</t>
  </si>
  <si>
    <t>28::519::4095::3</t>
  </si>
  <si>
    <t>28::519::4095::4</t>
  </si>
  <si>
    <t>29::519::4095::3</t>
  </si>
  <si>
    <t>29::519::4095::4</t>
  </si>
  <si>
    <t>30::519::4095::3</t>
  </si>
  <si>
    <t>30::519::4095::4</t>
  </si>
  <si>
    <t>31::519::4095::3</t>
  </si>
  <si>
    <t>31::519::4095::4</t>
  </si>
  <si>
    <t>32::519::4095::3</t>
  </si>
  <si>
    <t>32::519::4095::4</t>
  </si>
  <si>
    <t>33::519::4095::3</t>
  </si>
  <si>
    <t>33::519::4095::4</t>
  </si>
  <si>
    <t>34::519::4095::3</t>
  </si>
  <si>
    <t>34::519::4095::4</t>
  </si>
  <si>
    <t>35::519::4095::3</t>
  </si>
  <si>
    <t>35::519::4095::4</t>
  </si>
  <si>
    <t>41::7943::4095::3</t>
  </si>
  <si>
    <t>41::7943::4095::4</t>
  </si>
  <si>
    <t>36::519::4095::3</t>
  </si>
  <si>
    <t>36::519::4095::4</t>
  </si>
  <si>
    <t>37::3::4095::3</t>
  </si>
  <si>
    <t>37::3::4095::6</t>
  </si>
  <si>
    <t>38::3::4095::3</t>
  </si>
  <si>
    <t>38::3::4095::6</t>
  </si>
  <si>
    <t>40::7943::4095::3</t>
  </si>
  <si>
    <t>40::7943::4095::6</t>
  </si>
  <si>
    <t>ATTR_1</t>
  </si>
  <si>
    <t>ATTR_418</t>
  </si>
  <si>
    <t>E:\batalova\УК\0-5-5-ЖХ-Дерево отчет 3+4\2-\debug\db.dat</t>
  </si>
  <si>
    <t xml:space="preserve"> </t>
  </si>
  <si>
    <t>код строки</t>
  </si>
  <si>
    <t>План (руб.)</t>
  </si>
  <si>
    <t>Факт (руб.)</t>
  </si>
  <si>
    <t>РАСХОДЫ</t>
  </si>
  <si>
    <t>1. Содержание домохозяйства</t>
  </si>
  <si>
    <t>070</t>
  </si>
  <si>
    <t>Расходы эксплуатационных организаций по содержанию и ремонту жилищного фонда</t>
  </si>
  <si>
    <t>070 а</t>
  </si>
  <si>
    <t>в т.ч.заработная плата (без начислений)</t>
  </si>
  <si>
    <t>070 а -1</t>
  </si>
  <si>
    <t>Вывоз и обезвреживание твердых бытовых отходов:</t>
  </si>
  <si>
    <t>070 б</t>
  </si>
  <si>
    <t xml:space="preserve"> - вывоз  твердых бытовых отходов</t>
  </si>
  <si>
    <t>070 б -1</t>
  </si>
  <si>
    <t>070 б -2</t>
  </si>
  <si>
    <t xml:space="preserve">Вывоз и обезвреживание крупногабаритного мусора  </t>
  </si>
  <si>
    <t>070 в</t>
  </si>
  <si>
    <t>Прочие расходы по эксплуатации  содержанию жилищного фонда в т.ч.:</t>
  </si>
  <si>
    <t>070 ж</t>
  </si>
  <si>
    <t xml:space="preserve"> - содержание лифтов;</t>
  </si>
  <si>
    <t>070 ж-1</t>
  </si>
  <si>
    <t xml:space="preserve"> - дежурное освещение;</t>
  </si>
  <si>
    <t>070 ж-2</t>
  </si>
  <si>
    <t xml:space="preserve"> - списание воды;</t>
  </si>
  <si>
    <t>070 ж-3</t>
  </si>
  <si>
    <t xml:space="preserve"> - дератизация;</t>
  </si>
  <si>
    <t>070 ж-4</t>
  </si>
  <si>
    <t xml:space="preserve"> - дезинсекция; </t>
  </si>
  <si>
    <t>070 ж-5</t>
  </si>
  <si>
    <t xml:space="preserve"> - дезинфекция; </t>
  </si>
  <si>
    <t>070 ж-6</t>
  </si>
  <si>
    <t>- мойка и видеодиагностика мусоропроводов</t>
  </si>
  <si>
    <t>070 ж-7</t>
  </si>
  <si>
    <t xml:space="preserve"> - ОЗДС</t>
  </si>
  <si>
    <t>070 ж-8</t>
  </si>
  <si>
    <t xml:space="preserve"> - замена домовых указателей на светодиодные</t>
  </si>
  <si>
    <t>070 ж-9</t>
  </si>
  <si>
    <t>2. Текущий ремонт жилищного фонда в т.ч.</t>
  </si>
  <si>
    <t>100</t>
  </si>
  <si>
    <t xml:space="preserve"> - техническое обслуживание  пассажирских лифтов</t>
  </si>
  <si>
    <t>100 а</t>
  </si>
  <si>
    <t xml:space="preserve"> - работы по обеспечению электро- и пожаробезопасных условий эксплуатации систем электроснабжения (эл. плиты)</t>
  </si>
  <si>
    <t>100 б</t>
  </si>
  <si>
    <t xml:space="preserve"> - техническое обслуживание систем дымоудаления и противопожарной автоматики</t>
  </si>
  <si>
    <t>100 в</t>
  </si>
  <si>
    <t xml:space="preserve"> - аварийные работы</t>
  </si>
  <si>
    <t>100 г</t>
  </si>
  <si>
    <t xml:space="preserve"> - внутридомовое газовое обслуживание</t>
  </si>
  <si>
    <t>100 д</t>
  </si>
  <si>
    <t xml:space="preserve"> - прочие работы, в т.ч.</t>
  </si>
  <si>
    <t>100 ж</t>
  </si>
  <si>
    <t xml:space="preserve"> - обслуживание автоматики расширительных баков</t>
  </si>
  <si>
    <t>100 ж-1</t>
  </si>
  <si>
    <t xml:space="preserve"> - обслуживание дымоходов и вентканалов</t>
  </si>
  <si>
    <t>100 ж-2</t>
  </si>
  <si>
    <t xml:space="preserve"> - замер сопротивлений</t>
  </si>
  <si>
    <t>100 ж-3</t>
  </si>
  <si>
    <t xml:space="preserve"> - обслуживание кАСКУЭ</t>
  </si>
  <si>
    <t>100 ж-4</t>
  </si>
  <si>
    <t xml:space="preserve"> - обслуживание коммуникаций в коллекторах</t>
  </si>
  <si>
    <t>100 ж-5</t>
  </si>
  <si>
    <t xml:space="preserve"> - энергоснабжающие и противопожарные мероприятия</t>
  </si>
  <si>
    <t>100 ж-6</t>
  </si>
  <si>
    <t xml:space="preserve"> - работы по предписанию МЖИ</t>
  </si>
  <si>
    <t>100 ж-7</t>
  </si>
  <si>
    <t xml:space="preserve"> - непредвиденные расходы</t>
  </si>
  <si>
    <t>100 ж-8</t>
  </si>
  <si>
    <t>3. Амортизация машин, оборудования и инвентаря</t>
  </si>
  <si>
    <t>130</t>
  </si>
  <si>
    <t>4. Амортизационные отчисления по зданиям и сооружениям</t>
  </si>
  <si>
    <t>140</t>
  </si>
  <si>
    <t xml:space="preserve">5. Техническая инвентаризация  </t>
  </si>
  <si>
    <t>180</t>
  </si>
  <si>
    <t>6. Текущие расходы по проведению в порядок подъездов</t>
  </si>
  <si>
    <t>190</t>
  </si>
  <si>
    <t>7. Налог на землю</t>
  </si>
  <si>
    <t>221</t>
  </si>
  <si>
    <t>8. Прочие расходы в т.ч.:</t>
  </si>
  <si>
    <t>230</t>
  </si>
  <si>
    <t xml:space="preserve"> - услуги Банка Москвы</t>
  </si>
  <si>
    <t>230-1</t>
  </si>
  <si>
    <t>230-2</t>
  </si>
  <si>
    <t xml:space="preserve"> - прочие отчисления (страхование)</t>
  </si>
  <si>
    <t>230-3</t>
  </si>
  <si>
    <t>240</t>
  </si>
  <si>
    <t>ВСЕГО РАСХОДОВ</t>
  </si>
  <si>
    <t>250</t>
  </si>
  <si>
    <t>Транспортный налог</t>
  </si>
  <si>
    <t>260</t>
  </si>
  <si>
    <t xml:space="preserve">Налог на имущество </t>
  </si>
  <si>
    <t>261</t>
  </si>
  <si>
    <t>ДОХОДЫ                                                                                                                    (источники финансирования)</t>
  </si>
  <si>
    <t>1. Оплата услуг по содержанию и ремонту жилищного фонда в т.ч.:</t>
  </si>
  <si>
    <t>290</t>
  </si>
  <si>
    <t xml:space="preserve"> - оплата услуг по ставкам</t>
  </si>
  <si>
    <t>290-1</t>
  </si>
  <si>
    <t xml:space="preserve"> - оплата услуг по полной стоимости </t>
  </si>
  <si>
    <t>290-2</t>
  </si>
  <si>
    <t>2. Возмещение эксплуатационных расходов по нежилым помещениям</t>
  </si>
  <si>
    <t>320</t>
  </si>
  <si>
    <t xml:space="preserve">3. Бюджетная субсидия </t>
  </si>
  <si>
    <t>340</t>
  </si>
  <si>
    <t>ВСЕГО ДОХОДОВ</t>
  </si>
  <si>
    <t>Среднеэксплуатируемая площадь жилых и нежилых помещений кв. м.</t>
  </si>
  <si>
    <t>Общая площадь жилых помещений по договору на предоставление бюджетных субсидий</t>
  </si>
  <si>
    <t>руб. на 1 кв. м.</t>
  </si>
  <si>
    <t>ADDR</t>
  </si>
  <si>
    <t>ADRES=34757</t>
  </si>
  <si>
    <t>Айвазовского дом 1</t>
  </si>
  <si>
    <t>ADRES=34758</t>
  </si>
  <si>
    <t>Айвазовского дом 5 корп. 1</t>
  </si>
  <si>
    <t>ADRES=34759</t>
  </si>
  <si>
    <t>ADRES=37560</t>
  </si>
  <si>
    <t>Вильнюсская дом 3 корп. 1</t>
  </si>
  <si>
    <t>ADRES=34763</t>
  </si>
  <si>
    <t>ADRES=34767</t>
  </si>
  <si>
    <t>Вильнюсская дом 6</t>
  </si>
  <si>
    <t>ADRES=34772</t>
  </si>
  <si>
    <t>Вильнюсская дом 7 корп. 2</t>
  </si>
  <si>
    <t>ADRES=34768</t>
  </si>
  <si>
    <t>Вильнюсская дом 8 корп. 2</t>
  </si>
  <si>
    <t>ADRES=34769</t>
  </si>
  <si>
    <t>Вильнюсская дом 13</t>
  </si>
  <si>
    <t>ADRES=34770</t>
  </si>
  <si>
    <t>Вильнюсская дом 15</t>
  </si>
  <si>
    <t>ADRES=34771</t>
  </si>
  <si>
    <t>Вильнюсская дом 17</t>
  </si>
  <si>
    <t>ADRES=34773</t>
  </si>
  <si>
    <t>Голубинская дом 3 корп. 1</t>
  </si>
  <si>
    <t>ADRES=34774</t>
  </si>
  <si>
    <t>Голубинская дом 7 корп. 2</t>
  </si>
  <si>
    <t>ADRES=34775</t>
  </si>
  <si>
    <t>Голубинская дом 7 корп. 5</t>
  </si>
  <si>
    <t>ADRES=34776</t>
  </si>
  <si>
    <t>Голубинская дом 9</t>
  </si>
  <si>
    <t>ADRES=34777</t>
  </si>
  <si>
    <t>Голубинская дом 13 корп. 1</t>
  </si>
  <si>
    <t>ADRES=34778</t>
  </si>
  <si>
    <t>Голубинская дом 15/10</t>
  </si>
  <si>
    <t>ADRES=34920</t>
  </si>
  <si>
    <t>Голубинская дом 17/9</t>
  </si>
  <si>
    <t>ADRES=34917</t>
  </si>
  <si>
    <t>Голубинская дом 19</t>
  </si>
  <si>
    <t>ADRES=34780</t>
  </si>
  <si>
    <t>Голубинская дом 24 корп. 1</t>
  </si>
  <si>
    <t>ADRES=34782</t>
  </si>
  <si>
    <t>ADRES=34783</t>
  </si>
  <si>
    <t>Голубинская дом 25 корп. 2 стр.п.1-6 ЖСК Осень</t>
  </si>
  <si>
    <t>ADRES=34919</t>
  </si>
  <si>
    <t>Голубинская дом 29 корп. 1</t>
  </si>
  <si>
    <t>ADRES=34779</t>
  </si>
  <si>
    <t>Голубинская дом 29 корп. 2</t>
  </si>
  <si>
    <t>ADRES=34781</t>
  </si>
  <si>
    <t>Голубинская дом 32/2</t>
  </si>
  <si>
    <t>ADRES=34786</t>
  </si>
  <si>
    <t>Инессы Арманд дом 3</t>
  </si>
  <si>
    <t>ADRES=34787</t>
  </si>
  <si>
    <t>ADRES=34792</t>
  </si>
  <si>
    <t>Инессы Арманд дом 4 корп. 1 стр.п.11-14 ЖСК Лада</t>
  </si>
  <si>
    <t>ADRES=34788</t>
  </si>
  <si>
    <t>ADRES=34789</t>
  </si>
  <si>
    <t>Инессы Арманд дом 7</t>
  </si>
  <si>
    <t>ADRES=34790</t>
  </si>
  <si>
    <t>Инессы Арманд дом 8/17</t>
  </si>
  <si>
    <t>ADRES=34791</t>
  </si>
  <si>
    <t>Инессы Арманд дом 11</t>
  </si>
  <si>
    <t>ADRES=34794</t>
  </si>
  <si>
    <t>Карамзина пр-д дом 1 корп. 1</t>
  </si>
  <si>
    <t>ADRES=34795</t>
  </si>
  <si>
    <t>ADRES=34798</t>
  </si>
  <si>
    <t>Карамзина пр-д дом 1 корп. 3 стр.п.3-6 ЖСК Омега</t>
  </si>
  <si>
    <t>ADRES=34799</t>
  </si>
  <si>
    <t>Карамзина пр-д дом 1 корп. 3 стр.п.13-16 ЖСК Лимб</t>
  </si>
  <si>
    <t>ADRES=34796</t>
  </si>
  <si>
    <t>Карамзина пр-д дом 5</t>
  </si>
  <si>
    <t>ADRES=34797</t>
  </si>
  <si>
    <t>Карамзина пр-д дом 13 корп. 1</t>
  </si>
  <si>
    <t>ADRES=34810</t>
  </si>
  <si>
    <t>Литовский б-р дом 1</t>
  </si>
  <si>
    <t>ADRES=34811</t>
  </si>
  <si>
    <t>ADRES=34819</t>
  </si>
  <si>
    <t>Литовский б-р дом 3 корп. 2 стр.п.7-11 ЖСК Тайфун</t>
  </si>
  <si>
    <t>ADRES=34801</t>
  </si>
  <si>
    <t>Литовский б-р дом 6 корп. 1</t>
  </si>
  <si>
    <t>ADRES=34802</t>
  </si>
  <si>
    <t>Литовский б-р дом 6 корп. 3</t>
  </si>
  <si>
    <t>ADRES=34812</t>
  </si>
  <si>
    <t>Литовский б-р дом 9/7</t>
  </si>
  <si>
    <t>ADRES=34803</t>
  </si>
  <si>
    <t>Литовский б-р дом 10 корп. 1</t>
  </si>
  <si>
    <t>ADRES=34813</t>
  </si>
  <si>
    <t>Литовский б-р дом 11 корп. 5</t>
  </si>
  <si>
    <t>ADRES=34814</t>
  </si>
  <si>
    <t>Литовский б-р дом 15 корп. 1</t>
  </si>
  <si>
    <t>ADRES=34815</t>
  </si>
  <si>
    <t>Литовский б-р дом 15 корп. 5</t>
  </si>
  <si>
    <t>ADRES=34804</t>
  </si>
  <si>
    <t>ADRES=34817</t>
  </si>
  <si>
    <t>Литовский б-р дом 26 стр.п.1-4 ЖСК Широта</t>
  </si>
  <si>
    <t>ADRES=34805</t>
  </si>
  <si>
    <t>ADRES=34806</t>
  </si>
  <si>
    <t>Литовский б-р дом 30</t>
  </si>
  <si>
    <t>ADRES=34818</t>
  </si>
  <si>
    <t>Литовский б-р дом 34 корп.   стр.ЖСК Родник</t>
  </si>
  <si>
    <t>ADRES=34807</t>
  </si>
  <si>
    <t>Литовский б-р дом 42 корп. 1</t>
  </si>
  <si>
    <t>ADRES=34808</t>
  </si>
  <si>
    <t>Литовский б-р дом 46 корп. 1</t>
  </si>
  <si>
    <t>ADRES=34809</t>
  </si>
  <si>
    <t>Литовский б-р дом 46 корп. 2</t>
  </si>
  <si>
    <t>ADRES=34835</t>
  </si>
  <si>
    <t>Новоясеневский пр-т дом 3</t>
  </si>
  <si>
    <t>ADRES=34836</t>
  </si>
  <si>
    <t>Новоясеневский пр-т дом 5 корп. 1</t>
  </si>
  <si>
    <t>ADRES=34824</t>
  </si>
  <si>
    <t>Новоясеневский пр-т дом 12 корп. 1</t>
  </si>
  <si>
    <t>ADRES=34837</t>
  </si>
  <si>
    <t>Новоясеневский пр-т дом 13 корп. 1</t>
  </si>
  <si>
    <t>ADRES=34847</t>
  </si>
  <si>
    <t>Новоясеневский пр-т дом 14 корп. 2 стр.п.5-8 ЖСК Ясень</t>
  </si>
  <si>
    <t>ADRES=34825</t>
  </si>
  <si>
    <t>ADRES=34826</t>
  </si>
  <si>
    <t>Новоясеневский пр-т дом 16 корп. 1</t>
  </si>
  <si>
    <t>ADRES=34838</t>
  </si>
  <si>
    <t>Новоясеневский пр-т дом 17/50</t>
  </si>
  <si>
    <t>ADRES=34839</t>
  </si>
  <si>
    <t>Новоясеневский пр-т дом 19 корп. 1</t>
  </si>
  <si>
    <t>ADRES=34840</t>
  </si>
  <si>
    <t>Новоясеневский пр-т дом 19 корп. 4</t>
  </si>
  <si>
    <t>ADRES=34851</t>
  </si>
  <si>
    <t>Новоясеневский пр-т дом 21 корп. 1 стр.п.1-4 ЖСК Книга</t>
  </si>
  <si>
    <t>ADRES=34827</t>
  </si>
  <si>
    <t>ADRES=34841</t>
  </si>
  <si>
    <t>Новоясеневский пр-т дом 21 корп. 3</t>
  </si>
  <si>
    <t>ADRES=34829</t>
  </si>
  <si>
    <t>Новоясеневский пр-т дом 22 корп. 1</t>
  </si>
  <si>
    <t>ADRES=34830</t>
  </si>
  <si>
    <t>Новоясеневский пр-т дом 22 корп. 3</t>
  </si>
  <si>
    <t>ADRES=34842</t>
  </si>
  <si>
    <t>Новоясеневский пр-т дом 25/20</t>
  </si>
  <si>
    <t>ADRES=34831</t>
  </si>
  <si>
    <t>Новоясеневский пр-т дом 32 корп. 1</t>
  </si>
  <si>
    <t>ADRES=34849</t>
  </si>
  <si>
    <t>Новоясеневский пр-т дом 32 корп. 3 стр.п.1-6 ЖСК Ясный</t>
  </si>
  <si>
    <t>ADRES=34832</t>
  </si>
  <si>
    <t>ADRES=34833</t>
  </si>
  <si>
    <t>Новоясеневский пр-т дом 38 корп. 1</t>
  </si>
  <si>
    <t>ADRES=34834</t>
  </si>
  <si>
    <t>ADRES=34850</t>
  </si>
  <si>
    <t>Новоясеневский пр-т дом 40 корп. 3 стр.п.10-15 ЖСК Лань</t>
  </si>
  <si>
    <t>ADRES=34828</t>
  </si>
  <si>
    <t>Одоевского пр-д дом 3 корп. 1 стр.п.1-2</t>
  </si>
  <si>
    <t>ADRES=34852</t>
  </si>
  <si>
    <t>Одоевского пр-д дом 3 корп. 2 стр.п.3-4</t>
  </si>
  <si>
    <t>ADRES=34853</t>
  </si>
  <si>
    <t>Одоевского пр-д дом 3 корп. 3 стр.п.5-6</t>
  </si>
  <si>
    <t>ADRES=34854</t>
  </si>
  <si>
    <t>Одоевского пр-д дом 3 корп. 4 стр.п.7-8</t>
  </si>
  <si>
    <t>ADRES=34855</t>
  </si>
  <si>
    <t>Одоевского пр-д дом 3 корп. 5 стр.п.9-10</t>
  </si>
  <si>
    <t>ADRES=34856</t>
  </si>
  <si>
    <t>Одоевского пр-д дом 3 корп. 6 стр.п.11-12</t>
  </si>
  <si>
    <t>ADRES=34857</t>
  </si>
  <si>
    <t>Одоевского пр-д дом 3 корп. 7</t>
  </si>
  <si>
    <t>ADRES=34858</t>
  </si>
  <si>
    <t>Одоевского пр-д дом 7 корп. 1 стр.п.1-2</t>
  </si>
  <si>
    <t>ADRES=34859</t>
  </si>
  <si>
    <t>Одоевского пр-д дом 7 корп. 2 стр.п.3-4</t>
  </si>
  <si>
    <t>ADRES=34860</t>
  </si>
  <si>
    <t>Одоевского пр-д дом 7 корп. 3 стр.п.5-6</t>
  </si>
  <si>
    <t>ADRES=34861</t>
  </si>
  <si>
    <t>Одоевского пр-д дом 7 корп. 4 стр.п.7-8</t>
  </si>
  <si>
    <t>ADRES=34862</t>
  </si>
  <si>
    <t>Одоевского пр-д дом 7 корп. 7</t>
  </si>
  <si>
    <t>ADRES=34863</t>
  </si>
  <si>
    <t>Одоевского пр-д дом 11 корп. 1 стр.п.1-2</t>
  </si>
  <si>
    <t>ADRES=34864</t>
  </si>
  <si>
    <t>Одоевского пр-д дом 11 корп. 2 стр.п.3-4</t>
  </si>
  <si>
    <t>ADRES=34865</t>
  </si>
  <si>
    <t>Одоевского пр-д дом 11 корп. 3 стр.п.5-6</t>
  </si>
  <si>
    <t>ADRES=34866</t>
  </si>
  <si>
    <t>Одоевского пр-д дом 11 корп. 4 стр.п.7-8</t>
  </si>
  <si>
    <t>ADRES=34867</t>
  </si>
  <si>
    <t>Одоевского пр-д дом 11 корп. 5 стр.п.9-10</t>
  </si>
  <si>
    <t>ADRES=34868</t>
  </si>
  <si>
    <t>Одоевского пр-д дом 11 корп. 6 стр.п.11-12</t>
  </si>
  <si>
    <t>ADRES=34872</t>
  </si>
  <si>
    <t>ADRES=34876</t>
  </si>
  <si>
    <t>Паустовского дом 3 стр.п.3-7 ЖСК Телетайп</t>
  </si>
  <si>
    <t>ADRES=34877</t>
  </si>
  <si>
    <t>Паустовского дом 3 стр.п.12-16 ЖСК Олимп</t>
  </si>
  <si>
    <t>ADRES=34873</t>
  </si>
  <si>
    <t>ADRES=34878</t>
  </si>
  <si>
    <t>Паустовского дом 4 стр.п.3-7 ЖСК Вибратор</t>
  </si>
  <si>
    <t>ADRES=34879</t>
  </si>
  <si>
    <t>Паустовского дом 4 стр.п.12-16 ЖСК Геостром</t>
  </si>
  <si>
    <t>ADRES=34874</t>
  </si>
  <si>
    <t>Паустовского дом 5 корп. 1</t>
  </si>
  <si>
    <t>ADRES=34875</t>
  </si>
  <si>
    <t>ADRES=34880</t>
  </si>
  <si>
    <t>Паустовского дом 8 корп. 3 стр.п.5-8 ЖСК Молния-2</t>
  </si>
  <si>
    <t>ADRES=34883</t>
  </si>
  <si>
    <t>Рокотова дом 1/12</t>
  </si>
  <si>
    <t>ADRES=34884</t>
  </si>
  <si>
    <t>Рокотова дом 2/10</t>
  </si>
  <si>
    <t>ADRES=34885</t>
  </si>
  <si>
    <t>Рокотова дом 3 корп. 2</t>
  </si>
  <si>
    <t>ADRES=34889</t>
  </si>
  <si>
    <t>Рокотова дом 4 корп. 2 стр.п.1-3 ЖСК Жасмин</t>
  </si>
  <si>
    <t>ADRES=34886</t>
  </si>
  <si>
    <t>ADRES=34890</t>
  </si>
  <si>
    <t>Рокотова дом 4 корп. 2 стр.п.6-10 ЖСК Колизей</t>
  </si>
  <si>
    <t>ADRES=34887</t>
  </si>
  <si>
    <t>Рокотова дом 7 корп. 2</t>
  </si>
  <si>
    <t>ADRES=34881</t>
  </si>
  <si>
    <t>ADRES=34882</t>
  </si>
  <si>
    <t>Рокотова дом 8 корп. 5</t>
  </si>
  <si>
    <t>ADRES=34891</t>
  </si>
  <si>
    <t>ADRES=34898</t>
  </si>
  <si>
    <t>Соловьиный пр-д дом 2 стр.п.7-13 ЖСК Пегас</t>
  </si>
  <si>
    <t>ADRES=34892</t>
  </si>
  <si>
    <t>ADRES=34893</t>
  </si>
  <si>
    <t>Соловьиный пр-д дом 6</t>
  </si>
  <si>
    <t>ADRES=34894</t>
  </si>
  <si>
    <t>Соловьиный пр-д дом 8</t>
  </si>
  <si>
    <t>ADRES=34895</t>
  </si>
  <si>
    <t>ADRES=34896</t>
  </si>
  <si>
    <t>Соловьиный пр-д дом 16 корп. 1</t>
  </si>
  <si>
    <t>ADRES=34897</t>
  </si>
  <si>
    <t>Соловьиный пр-д дом 18</t>
  </si>
  <si>
    <t>ADRES=34901</t>
  </si>
  <si>
    <t>Тарусская дом 14 корп. 1</t>
  </si>
  <si>
    <t>ADRES=34902</t>
  </si>
  <si>
    <t>Тарусская дом 14 корп. 2</t>
  </si>
  <si>
    <t>ADRES=34903</t>
  </si>
  <si>
    <t>Тарусская дом 18 корп. 1</t>
  </si>
  <si>
    <t>ADRES=34904</t>
  </si>
  <si>
    <t>Тарусская дом 18 корп. 2</t>
  </si>
  <si>
    <t>ADRES=34905</t>
  </si>
  <si>
    <t>Тарусская дом 22 корп. 2</t>
  </si>
  <si>
    <t>ADRES=34915</t>
  </si>
  <si>
    <t>Ясногорская дом 3</t>
  </si>
  <si>
    <t>ADRES=34916</t>
  </si>
  <si>
    <t>Ясногорская дом 7</t>
  </si>
  <si>
    <t>ADRES=34909</t>
  </si>
  <si>
    <t>Ясногорская дом 13 корп. 1</t>
  </si>
  <si>
    <t>ADRES=34910</t>
  </si>
  <si>
    <t>Ясногорская дом 13 корп. 2</t>
  </si>
  <si>
    <t>ADRES=34911</t>
  </si>
  <si>
    <t>Ясногорская дом 17 корп. 1</t>
  </si>
  <si>
    <t>ADRES=34912</t>
  </si>
  <si>
    <t>Ясногорская дом 17 корп. 2</t>
  </si>
  <si>
    <t>ADRES=34913</t>
  </si>
  <si>
    <t>Ясногорская дом 21 корп. 1</t>
  </si>
  <si>
    <t>ADRES=34914</t>
  </si>
  <si>
    <t>Ясногорская дом 21 корп. 2</t>
  </si>
  <si>
    <t>9. Содержание учреждения</t>
  </si>
  <si>
    <t>Отчет</t>
  </si>
  <si>
    <t>управляющей организации ГБУ "Жилищник района Ясенево" перед собственниками многоквартирного дома по предоставленным услугам/работам по управлению, содержанию и ремонту общего имущества за период  с 01.01.2013 г. по 31.12.2013 г.</t>
  </si>
  <si>
    <t>Литовский б-р дом 26 стр.п.5-6</t>
  </si>
  <si>
    <t xml:space="preserve">Новоясеневский пр-т дом 21 корп. 1 стр.п.5-16 </t>
  </si>
  <si>
    <t xml:space="preserve">Соловьиный пр-д дом 2 стр.п.1-6,14-17 </t>
  </si>
  <si>
    <t xml:space="preserve">Соловьиный пр-д дом 4 корп. 1 стр.п.1-2 </t>
  </si>
  <si>
    <t xml:space="preserve">Айвазовского дом 6 корп. 1 стр.п.1-8,18,19 </t>
  </si>
  <si>
    <t xml:space="preserve">Вильнюсская дом 4 стр.п.11-18 </t>
  </si>
  <si>
    <t xml:space="preserve">Голубинская дом 25 корп. 1 стр.п.1-9,16-17 </t>
  </si>
  <si>
    <t xml:space="preserve">Инессы Арманд дом 4 корп. 1 стр.п.1-10,15-16 </t>
  </si>
  <si>
    <t xml:space="preserve">Инессы Арманд дом 4 корп. 2 стр.п.5-13 </t>
  </si>
  <si>
    <t xml:space="preserve">Карамзина пр-д дом 1 корп. 3 стр.п.1-2,7-12 </t>
  </si>
  <si>
    <t xml:space="preserve">Литовский б-р дом 18 стр.п.1-2 </t>
  </si>
  <si>
    <t xml:space="preserve">Новоясеневский пр-т дом 14 корп. 2 стр.п.9-10 </t>
  </si>
  <si>
    <t xml:space="preserve">Новоясеневский пр-т дом 32 корп. 3 стр.п.7-15 </t>
  </si>
  <si>
    <t xml:space="preserve">Новоясеневский пр-т дом 40 корп. 3 стр.п.1-9 </t>
  </si>
  <si>
    <t xml:space="preserve">Паустовского дом 3 стр.п.1-2,8-11,17-18 </t>
  </si>
  <si>
    <t xml:space="preserve">Паустовского дом 4 стр.п.1-2,8-11,17-18 </t>
  </si>
  <si>
    <t xml:space="preserve">Паустовского дом 8 корп. 3 стр.п.1-4,9-12 </t>
  </si>
  <si>
    <t xml:space="preserve">Рокотова дом 4 корп. 2 стр.п.4-5,11-14 </t>
  </si>
  <si>
    <t xml:space="preserve">Соловьиный пр-д дом 14 стр.п.5-16 </t>
  </si>
  <si>
    <t xml:space="preserve"> - захоронение и переработка  твердых бытовых отходов   </t>
  </si>
  <si>
    <t>Директор ГБУ "Жилищник района Ясенево"</t>
  </si>
  <si>
    <t>К.В.Канаев</t>
  </si>
  <si>
    <t>Главный инженер</t>
  </si>
  <si>
    <t>В.В.Рухмакова</t>
  </si>
  <si>
    <t>Начальник ПЭО</t>
  </si>
  <si>
    <t>Н.П.Очирова</t>
  </si>
  <si>
    <t xml:space="preserve"> - непредвиденные расходы (прочистка системы канализации, герметизация межпанельных швов)</t>
  </si>
  <si>
    <t xml:space="preserve"> - непредвиденные расходы (ремонт входных групп, замеры показателей электроэнергии) </t>
  </si>
  <si>
    <t xml:space="preserve"> - непредвиденные расходы (прочистка системы канализации, замеры показателей электроэнергии)</t>
  </si>
  <si>
    <t xml:space="preserve"> - непредвиденные расходы (ремонт входных групп)</t>
  </si>
  <si>
    <t xml:space="preserve">Рокотова дом 8 корп. 2 стр.п.1-4, 11-14 </t>
  </si>
  <si>
    <t xml:space="preserve"> - непредвиденные расходы (ремонт входных групп, замеры показателей качества электроэнергии)</t>
  </si>
  <si>
    <t xml:space="preserve"> - непредвиденные расходы (ремонт входных групп, ремонт фасада)</t>
  </si>
  <si>
    <t xml:space="preserve"> - непредвиденные расходы (замеры показателей качества электроэнергии)</t>
  </si>
  <si>
    <t xml:space="preserve"> - непредвиденные расходы (ремонт входных групп, герметизация межпанельных швов) </t>
  </si>
  <si>
    <t xml:space="preserve"> - непредвиденные расходы (герметизация межпанельных швов)</t>
  </si>
  <si>
    <t xml:space="preserve"> - непредвиденные расходы (ремонт входных групп, герметизация межпанельных швов)</t>
  </si>
  <si>
    <t xml:space="preserve"> - непредвиденные расходы (ремонт входных групп, покраска стеновых панелей)</t>
  </si>
  <si>
    <t xml:space="preserve"> - непредвиденные расходы (ремонт входных групп, электромонтажные работы)</t>
  </si>
  <si>
    <t xml:space="preserve"> - непредвиденные расходы (герметизация шахты дымоудаления и межпанельных швов)</t>
  </si>
  <si>
    <t xml:space="preserve"> - непредвиденные расходы (герметизация межпанельных швов, монтаж пандуса)</t>
  </si>
  <si>
    <t xml:space="preserve"> - непредвиденные расходы (электромонтажные работы, замена трубопровода ГВС)</t>
  </si>
  <si>
    <t xml:space="preserve">Литовский б-р дом 3 корп. 2 стр.п.1-6,12-13,17-25 </t>
  </si>
  <si>
    <t xml:space="preserve"> - непредвиденные расходы (замеры показателей электроэнергии)</t>
  </si>
  <si>
    <t xml:space="preserve"> - непредвиденные расходы (прочистка системы канализации, ремонт входных групп, герметизация межпанельных швов)</t>
  </si>
  <si>
    <t xml:space="preserve"> - непредвиденные расходы (устройство освещения в лифтовых шахтах, замена окон, герметизация межпанельных швов) </t>
  </si>
  <si>
    <t xml:space="preserve"> - непредвиденные расходы (проектно-изыскательские работы)</t>
  </si>
  <si>
    <t>восстановление кабель-канала</t>
  </si>
  <si>
    <t>ремонт входных групп</t>
  </si>
  <si>
    <t>прочистка системы канализации</t>
  </si>
  <si>
    <t xml:space="preserve"> - непредвиденные расходы (ремонт входных групп, наладка системы ЦО, герметизация межпанельных швов)</t>
  </si>
  <si>
    <t xml:space="preserve"> - непредвиденные расходы (замена ковшей)</t>
  </si>
  <si>
    <t xml:space="preserve"> - непредвиденные расходы (прочистка системы канализации)</t>
  </si>
  <si>
    <t xml:space="preserve"> - непредвиденные расходы (проектно-изыскат.работы)</t>
  </si>
  <si>
    <t xml:space="preserve"> - непредвиденные расходы (ремонт входных групп, замена ковшей)</t>
  </si>
  <si>
    <t xml:space="preserve"> - непредвиденные расходы (ремонт ступеней лестницы, ремонт дверей)</t>
  </si>
  <si>
    <t xml:space="preserve"> - непредвиденные расходы (ремонт входных групп, прочистка системы канализации, герметизация межпанельных швов) </t>
  </si>
  <si>
    <t xml:space="preserve"> - непредвиденные расходы, в том числе:</t>
  </si>
  <si>
    <t xml:space="preserve"> - непредвиденные расходы (обследование конструкций)</t>
  </si>
  <si>
    <t>й</t>
  </si>
  <si>
    <t xml:space="preserve"> - непредвиденные расходы </t>
  </si>
  <si>
    <t xml:space="preserve"> - непредвиденные расходы (обследование инженерн.оборудования)</t>
  </si>
  <si>
    <t xml:space="preserve"> - непредвиденные расходы (ремонт крыльца, ремонт дверей, замена ковшей, герметизация межпанельных швов)</t>
  </si>
  <si>
    <t xml:space="preserve"> - непредвиденные расходы (замена настенной плитки)</t>
  </si>
  <si>
    <t xml:space="preserve"> - непредвиденные расходы (утепление стены)</t>
  </si>
  <si>
    <t xml:space="preserve"> - непредвиденные расходы (восстановление кабель-канала)</t>
  </si>
  <si>
    <t xml:space="preserve"> - непредвиденные расходы (замена ковшей, почтовых ящиков)</t>
  </si>
  <si>
    <t xml:space="preserve"> - непредвиденные расходы (герметизация межпанельных швов, установка приборов учета в мусорокамерах, прочистка системы канализации)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</si>
</sst>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16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0"/>
      <color indexed="8"/>
      <name val="Perpetua Titling MT"/>
      <family val="1"/>
    </font>
    <font>
      <b/>
      <i/>
      <sz val="10"/>
      <name val="Perpetua Titling MT"/>
      <family val="1"/>
    </font>
    <font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5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1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4" fillId="0" borderId="2" xfId="0" applyFont="1" applyBorder="1"/>
    <xf numFmtId="0" fontId="0" fillId="0" borderId="4" xfId="0" applyBorder="1"/>
    <xf numFmtId="0" fontId="2" fillId="0" borderId="1" xfId="0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49" fontId="4" fillId="0" borderId="2" xfId="0" applyNumberFormat="1" applyFont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5" fillId="2" borderId="3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49" fontId="7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4" fontId="4" fillId="0" borderId="2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49" fontId="2" fillId="0" borderId="6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/>
    <xf numFmtId="0" fontId="11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2" fontId="0" fillId="0" borderId="0" xfId="0" applyNumberFormat="1"/>
    <xf numFmtId="0" fontId="6" fillId="0" borderId="1" xfId="0" applyFont="1" applyBorder="1" applyAlignment="1">
      <alignment horizontal="left" vertical="center" wrapText="1"/>
    </xf>
    <xf numFmtId="4" fontId="2" fillId="2" borderId="3" xfId="0" applyNumberFormat="1" applyFont="1" applyFill="1" applyBorder="1" applyAlignment="1">
      <alignment horizontal="center" vertical="center"/>
    </xf>
    <xf numFmtId="4" fontId="5" fillId="2" borderId="3" xfId="0" applyNumberFormat="1" applyFont="1" applyFill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5" fillId="2" borderId="3" xfId="0" applyNumberFormat="1" applyFont="1" applyFill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5" fillId="2" borderId="3" xfId="0" applyNumberFormat="1" applyFont="1" applyFill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164" fontId="0" fillId="0" borderId="0" xfId="0" applyNumberFormat="1"/>
    <xf numFmtId="4" fontId="4" fillId="3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4" fontId="1" fillId="0" borderId="12" xfId="0" applyNumberFormat="1" applyFont="1" applyBorder="1" applyAlignment="1">
      <alignment horizontal="center" vertical="center"/>
    </xf>
    <xf numFmtId="4" fontId="1" fillId="0" borderId="13" xfId="0" applyNumberFormat="1" applyFont="1" applyBorder="1" applyAlignment="1">
      <alignment horizontal="center" vertical="center"/>
    </xf>
    <xf numFmtId="4" fontId="1" fillId="0" borderId="14" xfId="0" applyNumberFormat="1" applyFont="1" applyBorder="1" applyAlignment="1">
      <alignment horizontal="center" vertical="center"/>
    </xf>
    <xf numFmtId="4" fontId="1" fillId="0" borderId="15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 wrapText="1"/>
    </xf>
    <xf numFmtId="0" fontId="0" fillId="0" borderId="11" xfId="0" applyBorder="1" applyAlignment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Процентный 2" xfId="6"/>
    <cellStyle name="Финансовый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theme" Target="theme/theme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calcChain" Target="calcChain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59"/>
  <sheetViews>
    <sheetView topLeftCell="A31" workbookViewId="0">
      <selection activeCell="J60" sqref="J60"/>
    </sheetView>
  </sheetViews>
  <sheetFormatPr defaultColWidth="11.7109375" defaultRowHeight="15"/>
  <cols>
    <col min="1" max="1" width="62.42578125" customWidth="1"/>
    <col min="2" max="2" width="9" customWidth="1"/>
    <col min="3" max="3" width="19.85546875" customWidth="1"/>
    <col min="4" max="4" width="17.5703125" customWidth="1"/>
    <col min="5" max="247" width="9.140625" customWidth="1"/>
    <col min="248" max="248" width="38.85546875" customWidth="1"/>
    <col min="249" max="249" width="7.85546875" customWidth="1"/>
    <col min="250" max="250" width="14.85546875" customWidth="1"/>
    <col min="251" max="251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192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2948332.03</v>
      </c>
      <c r="D8" s="11">
        <f>D9+D11+D14+D15</f>
        <v>2642500.59</v>
      </c>
    </row>
    <row r="9" spans="1:4" ht="30">
      <c r="A9" s="12" t="s">
        <v>90</v>
      </c>
      <c r="B9" s="13" t="s">
        <v>91</v>
      </c>
      <c r="C9" s="14">
        <f>2612252.19</f>
        <v>2612252.19</v>
      </c>
      <c r="D9" s="15">
        <f>2452985.11</f>
        <v>2452985.11</v>
      </c>
    </row>
    <row r="10" spans="1:4">
      <c r="A10" s="16" t="s">
        <v>92</v>
      </c>
      <c r="B10" s="17" t="s">
        <v>93</v>
      </c>
      <c r="C10" s="18">
        <f>1471415.50691244</f>
        <v>1471415.5069124401</v>
      </c>
      <c r="D10" s="19">
        <f>_1h_E12</f>
        <v>1471415.5069124401</v>
      </c>
    </row>
    <row r="11" spans="1:4" ht="18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336079.83999999997</v>
      </c>
      <c r="D15" s="15">
        <f>SUM(D16:D24)</f>
        <v>189515.48</v>
      </c>
    </row>
    <row r="16" spans="1:4">
      <c r="A16" s="22" t="s">
        <v>103</v>
      </c>
      <c r="B16" s="17" t="s">
        <v>104</v>
      </c>
      <c r="C16" s="111">
        <v>263592.36</v>
      </c>
      <c r="D16" s="113">
        <v>126341.54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58998.72</f>
        <v>58998.720000000001</v>
      </c>
      <c r="D18" s="19">
        <f>49682.18</f>
        <v>49682.18</v>
      </c>
    </row>
    <row r="19" spans="1:4">
      <c r="A19" s="22" t="s">
        <v>109</v>
      </c>
      <c r="B19" s="17" t="s">
        <v>110</v>
      </c>
      <c r="C19" s="18">
        <f>8031.92</f>
        <v>8031.92</v>
      </c>
      <c r="D19" s="19">
        <f>8037.32</f>
        <v>8037.32</v>
      </c>
    </row>
    <row r="20" spans="1:4">
      <c r="A20" s="22" t="s">
        <v>111</v>
      </c>
      <c r="B20" s="17" t="s">
        <v>112</v>
      </c>
      <c r="C20" s="18">
        <f>5456.84</f>
        <v>5456.84</v>
      </c>
      <c r="D20" s="19">
        <f>5454.44</f>
        <v>5454.44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1122629.93</v>
      </c>
      <c r="D25" s="15">
        <f>D26+D27+D30+D28+D29+D31</f>
        <v>1476943.5699999998</v>
      </c>
    </row>
    <row r="26" spans="1:4" ht="18.75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30">
      <c r="A27" s="24" t="s">
        <v>125</v>
      </c>
      <c r="B27" s="20" t="s">
        <v>126</v>
      </c>
      <c r="C27" s="18">
        <f>37054.56</f>
        <v>37054.559999999998</v>
      </c>
      <c r="D27" s="19">
        <f>37024.1</f>
        <v>37024.1</v>
      </c>
    </row>
    <row r="28" spans="1:4" ht="30">
      <c r="A28" s="21" t="s">
        <v>127</v>
      </c>
      <c r="B28" s="20" t="s">
        <v>128</v>
      </c>
      <c r="C28" s="18">
        <f>272304</f>
        <v>272304</v>
      </c>
      <c r="D28" s="19">
        <f>272304.12</f>
        <v>272304.12</v>
      </c>
    </row>
    <row r="29" spans="1:4">
      <c r="A29" s="21" t="s">
        <v>129</v>
      </c>
      <c r="B29" s="20" t="s">
        <v>130</v>
      </c>
      <c r="C29" s="18">
        <f>47957.64</f>
        <v>47957.64</v>
      </c>
      <c r="D29" s="19">
        <f>47538.45</f>
        <v>47538.45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175786.37</v>
      </c>
      <c r="D31" s="15">
        <f>SUM(D32:D39)</f>
        <v>530549.54</v>
      </c>
    </row>
    <row r="32" spans="1:4" ht="22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50286.96</f>
        <v>50286.96</v>
      </c>
      <c r="D33" s="19">
        <f>53810.89</f>
        <v>53810.89</v>
      </c>
    </row>
    <row r="34" spans="1:4">
      <c r="A34" s="24" t="s">
        <v>139</v>
      </c>
      <c r="B34" s="17" t="s">
        <v>140</v>
      </c>
      <c r="C34" s="18">
        <f>94702.68</f>
        <v>94702.68</v>
      </c>
      <c r="D34" s="19">
        <f>93162.01</f>
        <v>93162.01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v>165.32</v>
      </c>
      <c r="D39" s="19">
        <f>352945.23</f>
        <v>352945.23</v>
      </c>
    </row>
    <row r="40" spans="1:4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28671.96</v>
      </c>
      <c r="D45" s="27">
        <f>SUM(D46:D48)</f>
        <v>22382.75</v>
      </c>
    </row>
    <row r="46" spans="1:4">
      <c r="A46" s="21" t="s">
        <v>163</v>
      </c>
      <c r="B46" s="17" t="s">
        <v>164</v>
      </c>
      <c r="C46" s="18">
        <f>27791.52</f>
        <v>27791.52</v>
      </c>
      <c r="D46" s="19">
        <f>21502.31</f>
        <v>21502.31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880.44</f>
        <v>880.44</v>
      </c>
      <c r="D48" s="19">
        <f>880.44</f>
        <v>880.44</v>
      </c>
    </row>
    <row r="49" spans="1:4">
      <c r="A49" s="8" t="s">
        <v>440</v>
      </c>
      <c r="B49" s="28" t="s">
        <v>168</v>
      </c>
      <c r="C49" s="29">
        <f>324183.48</f>
        <v>324183.48</v>
      </c>
      <c r="D49" s="30">
        <f>281990.49</f>
        <v>281990.49</v>
      </c>
    </row>
    <row r="50" spans="1:4">
      <c r="A50" s="8" t="s">
        <v>169</v>
      </c>
      <c r="B50" s="9" t="s">
        <v>170</v>
      </c>
      <c r="C50" s="14">
        <f>C8+C25+C40+C41+C42+C43+C44+C45+C49+C51+C52</f>
        <v>4423817.4000000004</v>
      </c>
      <c r="D50" s="15">
        <f>D8+D25+D40+D41+D42+D43+D44+D45+D49+D51+D52</f>
        <v>4423817.3999999994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3" t="s">
        <v>175</v>
      </c>
      <c r="B53" s="20"/>
      <c r="C53" s="18"/>
      <c r="D53" s="19"/>
    </row>
    <row r="54" spans="1:4" ht="28.5" hidden="1">
      <c r="A54" s="3" t="s">
        <v>176</v>
      </c>
      <c r="B54" s="9" t="s">
        <v>177</v>
      </c>
      <c r="C54" s="26">
        <f>SUM(C55:C56)</f>
        <v>2691354.48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2594003.4</f>
        <v>2594003.4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97351.08</f>
        <v>97351.08</v>
      </c>
      <c r="D56" s="19">
        <f>0</f>
        <v>0</v>
      </c>
    </row>
    <row r="57" spans="1:4" ht="28.5" hidden="1">
      <c r="A57" s="3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1418940</f>
        <v>1418940</v>
      </c>
      <c r="D58" s="30">
        <f>0</f>
        <v>0</v>
      </c>
    </row>
    <row r="59" spans="1:4" hidden="1">
      <c r="A59" s="3" t="s">
        <v>186</v>
      </c>
      <c r="B59" s="9"/>
      <c r="C59" s="26">
        <f>C54+C57+C58</f>
        <v>4110294.48</v>
      </c>
      <c r="D59" s="27">
        <f>D54+D57+D58</f>
        <v>0</v>
      </c>
    </row>
    <row r="60" spans="1:4" ht="25.5">
      <c r="A60" s="33" t="s">
        <v>188</v>
      </c>
      <c r="B60" s="9"/>
      <c r="C60" s="34">
        <v>16421</v>
      </c>
      <c r="D60" s="35">
        <v>16421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2"/>
      <c r="C62" s="2"/>
      <c r="D62" s="2"/>
    </row>
    <row r="63" spans="1:4">
      <c r="A63" s="40"/>
      <c r="B63" s="2"/>
      <c r="C63" s="2"/>
      <c r="D63" s="2"/>
    </row>
    <row r="64" spans="1:4" ht="18" customHeight="1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0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</sheetData>
  <mergeCells count="7">
    <mergeCell ref="A2:D2"/>
    <mergeCell ref="A3:D3"/>
    <mergeCell ref="C16:C17"/>
    <mergeCell ref="D16:D17"/>
    <mergeCell ref="A5:A6"/>
    <mergeCell ref="B5:B6"/>
    <mergeCell ref="C5:D5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261"/>
  <sheetViews>
    <sheetView topLeftCell="A10" workbookViewId="0">
      <selection activeCell="D18" sqref="D18"/>
    </sheetView>
  </sheetViews>
  <sheetFormatPr defaultColWidth="11.7109375" defaultRowHeight="15"/>
  <cols>
    <col min="1" max="1" width="56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206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1748183.73</v>
      </c>
      <c r="D8" s="11">
        <f>D9+D11+D14+D15</f>
        <v>1719467.82</v>
      </c>
    </row>
    <row r="9" spans="1:4" ht="30">
      <c r="A9" s="12" t="s">
        <v>90</v>
      </c>
      <c r="B9" s="13" t="s">
        <v>91</v>
      </c>
      <c r="C9" s="14">
        <f>1460313.29</f>
        <v>1460313.29</v>
      </c>
      <c r="D9" s="15">
        <v>1425012.52</v>
      </c>
    </row>
    <row r="10" spans="1:4">
      <c r="A10" s="16" t="s">
        <v>92</v>
      </c>
      <c r="B10" s="17" t="s">
        <v>93</v>
      </c>
      <c r="C10" s="18">
        <f>858178.471582181</f>
        <v>858178.47158218105</v>
      </c>
      <c r="D10" s="19">
        <f>_10h_E12</f>
        <v>858178.47158218105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287870.44</v>
      </c>
      <c r="D15" s="15">
        <f>SUM(D16:D24)</f>
        <v>294455.3</v>
      </c>
    </row>
    <row r="16" spans="1:4">
      <c r="A16" s="22" t="s">
        <v>103</v>
      </c>
      <c r="B16" s="17" t="s">
        <v>104</v>
      </c>
      <c r="C16" s="111">
        <v>221767.44</v>
      </c>
      <c r="D16" s="113">
        <v>220909.11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29344.08</f>
        <v>29344.080000000002</v>
      </c>
      <c r="D18" s="19">
        <f>36785.01</f>
        <v>36785.01</v>
      </c>
    </row>
    <row r="19" spans="1:4">
      <c r="A19" s="22" t="s">
        <v>109</v>
      </c>
      <c r="B19" s="17" t="s">
        <v>110</v>
      </c>
      <c r="C19" s="18">
        <f>6215.44</f>
        <v>6215.44</v>
      </c>
      <c r="D19" s="19">
        <f>6219.6</f>
        <v>6219.6</v>
      </c>
    </row>
    <row r="20" spans="1:4">
      <c r="A20" s="22" t="s">
        <v>111</v>
      </c>
      <c r="B20" s="17" t="s">
        <v>112</v>
      </c>
      <c r="C20" s="18">
        <f>4319.72</f>
        <v>4319.72</v>
      </c>
      <c r="D20" s="19">
        <f>4317.82</f>
        <v>4317.82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26223.76</f>
        <v>26223.759999999998</v>
      </c>
      <c r="D22" s="19">
        <f>26223.76</f>
        <v>26223.759999999998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1212255.97</v>
      </c>
      <c r="D25" s="15">
        <f>D26+D27+D30+D28+D29+D31</f>
        <v>1180758.8</v>
      </c>
    </row>
    <row r="26" spans="1:4" ht="20.25" customHeight="1">
      <c r="A26" s="24" t="s">
        <v>123</v>
      </c>
      <c r="B26" s="20" t="s">
        <v>124</v>
      </c>
      <c r="C26" s="18">
        <f>575544.6</f>
        <v>575544.6</v>
      </c>
      <c r="D26" s="19">
        <f>543569.91</f>
        <v>543569.91</v>
      </c>
    </row>
    <row r="27" spans="1:4" ht="45">
      <c r="A27" s="24" t="s">
        <v>125</v>
      </c>
      <c r="B27" s="20" t="s">
        <v>126</v>
      </c>
      <c r="C27" s="18">
        <f>27501.24</f>
        <v>27501.24</v>
      </c>
      <c r="D27" s="19">
        <f>27554.69</f>
        <v>27554.69</v>
      </c>
    </row>
    <row r="28" spans="1:4" ht="30" customHeight="1">
      <c r="A28" s="21" t="s">
        <v>127</v>
      </c>
      <c r="B28" s="20" t="s">
        <v>128</v>
      </c>
      <c r="C28" s="18">
        <f>237830.4</f>
        <v>237830.39999999999</v>
      </c>
      <c r="D28" s="19">
        <f>237830.28</f>
        <v>237830.28</v>
      </c>
    </row>
    <row r="29" spans="1:4">
      <c r="A29" s="21" t="s">
        <v>129</v>
      </c>
      <c r="B29" s="20" t="s">
        <v>130</v>
      </c>
      <c r="C29" s="18">
        <f>36535.44</f>
        <v>36535.440000000002</v>
      </c>
      <c r="D29" s="19">
        <f>36215.92</f>
        <v>36215.919999999998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334844.29000000004</v>
      </c>
      <c r="D31" s="15">
        <f>SUM(D32:D39)</f>
        <v>335588</v>
      </c>
    </row>
    <row r="32" spans="1:4" ht="20.25" customHeight="1">
      <c r="A32" s="24" t="s">
        <v>135</v>
      </c>
      <c r="B32" s="17" t="s">
        <v>136</v>
      </c>
      <c r="C32" s="18">
        <f>22973.56</f>
        <v>22973.56</v>
      </c>
      <c r="D32" s="19">
        <f>22973.54</f>
        <v>22973.54</v>
      </c>
    </row>
    <row r="33" spans="1:4">
      <c r="A33" s="24" t="s">
        <v>137</v>
      </c>
      <c r="B33" s="17" t="s">
        <v>138</v>
      </c>
      <c r="C33" s="18">
        <f>37322.28</f>
        <v>37322.28</v>
      </c>
      <c r="D33" s="19">
        <f>39141.68</f>
        <v>39141.68</v>
      </c>
    </row>
    <row r="34" spans="1:4">
      <c r="A34" s="24" t="s">
        <v>139</v>
      </c>
      <c r="B34" s="17" t="s">
        <v>140</v>
      </c>
      <c r="C34" s="18">
        <f>68194.06</f>
        <v>68194.06</v>
      </c>
      <c r="D34" s="19">
        <f>67118.39</f>
        <v>67118.39</v>
      </c>
    </row>
    <row r="35" spans="1:4">
      <c r="A35" s="24" t="s">
        <v>141</v>
      </c>
      <c r="B35" s="17" t="s">
        <v>142</v>
      </c>
      <c r="C35" s="18">
        <f>51480</f>
        <v>51480</v>
      </c>
      <c r="D35" s="19">
        <f>51480</f>
        <v>51480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108000</f>
        <v>108000</v>
      </c>
      <c r="D37" s="19">
        <f>108000</f>
        <v>108000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46874.39</v>
      </c>
      <c r="D39" s="19">
        <v>46874.39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162782.42000000001</v>
      </c>
      <c r="D45" s="27">
        <f>SUM(D46:D48)</f>
        <v>153501.96999999997</v>
      </c>
    </row>
    <row r="46" spans="1:4">
      <c r="A46" s="21" t="s">
        <v>163</v>
      </c>
      <c r="B46" s="17" t="s">
        <v>164</v>
      </c>
      <c r="C46" s="18">
        <f>21172.2</f>
        <v>21172.2</v>
      </c>
      <c r="D46" s="19">
        <f>23455.92</f>
        <v>23455.919999999998</v>
      </c>
    </row>
    <row r="47" spans="1:4">
      <c r="A47" s="21" t="s">
        <v>149</v>
      </c>
      <c r="B47" s="17" t="s">
        <v>165</v>
      </c>
      <c r="C47" s="18">
        <v>134553.98000000001</v>
      </c>
      <c r="D47" s="19">
        <v>122989.81</v>
      </c>
    </row>
    <row r="48" spans="1:4">
      <c r="A48" s="21" t="s">
        <v>166</v>
      </c>
      <c r="B48" s="17" t="s">
        <v>167</v>
      </c>
      <c r="C48" s="18">
        <v>7056.24</v>
      </c>
      <c r="D48" s="19">
        <v>7056.24</v>
      </c>
    </row>
    <row r="49" spans="1:4">
      <c r="A49" s="8" t="s">
        <v>440</v>
      </c>
      <c r="B49" s="28" t="s">
        <v>168</v>
      </c>
      <c r="C49" s="29">
        <f>246971.88</f>
        <v>246971.88</v>
      </c>
      <c r="D49" s="30">
        <f>316465.41</f>
        <v>316465.40999999997</v>
      </c>
    </row>
    <row r="50" spans="1:4">
      <c r="A50" s="8" t="s">
        <v>169</v>
      </c>
      <c r="B50" s="9" t="s">
        <v>170</v>
      </c>
      <c r="C50" s="14">
        <f>C8+C25+C40+C41+C42+C43+C44+C45+C49+C51+C52</f>
        <v>3370194</v>
      </c>
      <c r="D50" s="15">
        <f>D8+D25+D40+D41+D42+D43+D44+D45+D49+D51+D52</f>
        <v>3370194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1652562.6600000001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1376070.3</f>
        <v>1376070.3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276492.36</f>
        <v>276492.36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637992</f>
        <v>637992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2290554.66</v>
      </c>
      <c r="D59" s="27">
        <f>D54+D57+D58</f>
        <v>0</v>
      </c>
    </row>
    <row r="60" spans="1:4" ht="25.5">
      <c r="A60" s="33" t="s">
        <v>188</v>
      </c>
      <c r="B60" s="9"/>
      <c r="C60" s="34">
        <v>12510</v>
      </c>
      <c r="D60" s="35">
        <v>12510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58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374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82">
        <v>1537852.01</v>
      </c>
      <c r="D8" s="11">
        <f>D9+D11+D14+D15</f>
        <v>1398049.2</v>
      </c>
    </row>
    <row r="9" spans="1:4" ht="30">
      <c r="A9" s="12" t="s">
        <v>90</v>
      </c>
      <c r="B9" s="13" t="s">
        <v>91</v>
      </c>
      <c r="C9" s="83">
        <v>1344331.98</v>
      </c>
      <c r="D9" s="15">
        <f>1270556.78</f>
        <v>1270556.78</v>
      </c>
    </row>
    <row r="10" spans="1:4">
      <c r="A10" s="16" t="s">
        <v>92</v>
      </c>
      <c r="B10" s="17" t="s">
        <v>93</v>
      </c>
      <c r="C10" s="84">
        <v>858679.30875575996</v>
      </c>
      <c r="D10" s="19">
        <f>_100h_E12</f>
        <v>858679.30875575996</v>
      </c>
    </row>
    <row r="11" spans="1:4" ht="21" customHeight="1">
      <c r="A11" s="12" t="s">
        <v>94</v>
      </c>
      <c r="B11" s="20" t="s">
        <v>95</v>
      </c>
      <c r="C11" s="83"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84"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84"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84"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83">
        <v>193520.03000000003</v>
      </c>
      <c r="D15" s="15">
        <f>SUM(D16:D24)</f>
        <v>127492.42</v>
      </c>
    </row>
    <row r="16" spans="1:4">
      <c r="A16" s="22" t="s">
        <v>103</v>
      </c>
      <c r="B16" s="17" t="s">
        <v>104</v>
      </c>
      <c r="C16" s="111">
        <v>131244.48000000001</v>
      </c>
      <c r="D16" s="113">
        <v>57519.73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84">
        <v>30353.16</v>
      </c>
      <c r="D18" s="19">
        <f>38049.99</f>
        <v>38049.99</v>
      </c>
    </row>
    <row r="19" spans="1:4">
      <c r="A19" s="22" t="s">
        <v>109</v>
      </c>
      <c r="B19" s="17" t="s">
        <v>110</v>
      </c>
      <c r="C19" s="84">
        <v>3775.38</v>
      </c>
      <c r="D19" s="19">
        <f>3777.9</f>
        <v>3777.9</v>
      </c>
    </row>
    <row r="20" spans="1:4">
      <c r="A20" s="22" t="s">
        <v>111</v>
      </c>
      <c r="B20" s="17" t="s">
        <v>112</v>
      </c>
      <c r="C20" s="84">
        <v>5008.3999999999996</v>
      </c>
      <c r="D20" s="19">
        <f>5006.19</f>
        <v>5006.1899999999996</v>
      </c>
    </row>
    <row r="21" spans="1:4">
      <c r="A21" s="22" t="s">
        <v>113</v>
      </c>
      <c r="B21" s="17" t="s">
        <v>114</v>
      </c>
      <c r="C21" s="84"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84">
        <v>23138.61</v>
      </c>
      <c r="D22" s="19">
        <f>23138.61</f>
        <v>23138.61</v>
      </c>
    </row>
    <row r="23" spans="1:4">
      <c r="A23" s="22" t="s">
        <v>117</v>
      </c>
      <c r="B23" s="17" t="s">
        <v>118</v>
      </c>
      <c r="C23" s="84">
        <v>0</v>
      </c>
      <c r="D23" s="19">
        <f>0</f>
        <v>0</v>
      </c>
    </row>
    <row r="24" spans="1:4" ht="22.5" customHeight="1">
      <c r="A24" s="23" t="s">
        <v>119</v>
      </c>
      <c r="B24" s="17" t="s">
        <v>120</v>
      </c>
      <c r="C24" s="84"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83">
        <v>589366.790000009</v>
      </c>
      <c r="D25" s="15">
        <f>D26+D27+D30+D28+D29+D31</f>
        <v>322630.14</v>
      </c>
    </row>
    <row r="26" spans="1:4" ht="20.25" customHeight="1">
      <c r="A26" s="24" t="s">
        <v>123</v>
      </c>
      <c r="B26" s="20" t="s">
        <v>124</v>
      </c>
      <c r="C26" s="84">
        <v>167795.88</v>
      </c>
      <c r="D26" s="19">
        <f>167516.22</f>
        <v>167516.22</v>
      </c>
    </row>
    <row r="27" spans="1:4" ht="45">
      <c r="A27" s="24" t="s">
        <v>125</v>
      </c>
      <c r="B27" s="20" t="s">
        <v>126</v>
      </c>
      <c r="C27" s="84">
        <v>25330.080000000002</v>
      </c>
      <c r="D27" s="19">
        <f>25269.25</f>
        <v>25269.25</v>
      </c>
    </row>
    <row r="28" spans="1:4" ht="33.75" customHeight="1">
      <c r="A28" s="21" t="s">
        <v>127</v>
      </c>
      <c r="B28" s="20" t="s">
        <v>128</v>
      </c>
      <c r="C28" s="84"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84">
        <v>25368</v>
      </c>
      <c r="D29" s="19">
        <f>25146.13</f>
        <v>25146.13</v>
      </c>
    </row>
    <row r="30" spans="1:4">
      <c r="A30" s="21" t="s">
        <v>131</v>
      </c>
      <c r="B30" s="20" t="s">
        <v>132</v>
      </c>
      <c r="C30" s="84"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83">
        <v>370872.83000000898</v>
      </c>
      <c r="D31" s="15">
        <f>SUM(D32:D39)</f>
        <v>104698.54000000001</v>
      </c>
    </row>
    <row r="32" spans="1:4" ht="20.25" customHeight="1">
      <c r="A32" s="24" t="s">
        <v>135</v>
      </c>
      <c r="B32" s="17" t="s">
        <v>136</v>
      </c>
      <c r="C32" s="84">
        <v>38289.26</v>
      </c>
      <c r="D32" s="19">
        <f>38289.26</f>
        <v>38289.26</v>
      </c>
    </row>
    <row r="33" spans="1:4">
      <c r="A33" s="24" t="s">
        <v>137</v>
      </c>
      <c r="B33" s="17" t="s">
        <v>138</v>
      </c>
      <c r="C33" s="84">
        <v>34375.800000000003</v>
      </c>
      <c r="D33" s="19">
        <f>34795.21</f>
        <v>34795.21</v>
      </c>
    </row>
    <row r="34" spans="1:4">
      <c r="A34" s="24" t="s">
        <v>139</v>
      </c>
      <c r="B34" s="17" t="s">
        <v>140</v>
      </c>
      <c r="C34" s="84">
        <v>30969.24</v>
      </c>
      <c r="D34" s="19">
        <f>31614.07</f>
        <v>31614.07</v>
      </c>
    </row>
    <row r="35" spans="1:4">
      <c r="A35" s="24" t="s">
        <v>141</v>
      </c>
      <c r="B35" s="17" t="s">
        <v>142</v>
      </c>
      <c r="C35" s="84"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84"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84"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84"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84">
        <v>267238.53000000899</v>
      </c>
      <c r="D39" s="19">
        <f>0</f>
        <v>0</v>
      </c>
    </row>
    <row r="40" spans="1:4" ht="23.25" customHeight="1">
      <c r="A40" s="8" t="s">
        <v>151</v>
      </c>
      <c r="B40" s="9" t="s">
        <v>152</v>
      </c>
      <c r="C40" s="85"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85"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85"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85"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85"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85">
        <v>38101.339999999997</v>
      </c>
      <c r="D45" s="27">
        <f>SUM(D46:D48)</f>
        <v>396388.78</v>
      </c>
    </row>
    <row r="46" spans="1:4">
      <c r="A46" s="21" t="s">
        <v>163</v>
      </c>
      <c r="B46" s="17" t="s">
        <v>164</v>
      </c>
      <c r="C46" s="84">
        <v>14700.72</v>
      </c>
      <c r="D46" s="19">
        <f>16286.39</f>
        <v>16286.39</v>
      </c>
    </row>
    <row r="47" spans="1:4">
      <c r="A47" s="21" t="s">
        <v>149</v>
      </c>
      <c r="B47" s="17" t="s">
        <v>165</v>
      </c>
      <c r="C47" s="84">
        <v>23400.62</v>
      </c>
      <c r="D47" s="19">
        <f>380102.39</f>
        <v>380102.39</v>
      </c>
    </row>
    <row r="48" spans="1:4">
      <c r="A48" s="21" t="s">
        <v>166</v>
      </c>
      <c r="B48" s="17" t="s">
        <v>167</v>
      </c>
      <c r="C48" s="84">
        <v>0</v>
      </c>
      <c r="D48" s="19">
        <f>0</f>
        <v>0</v>
      </c>
    </row>
    <row r="49" spans="1:4">
      <c r="A49" s="8" t="s">
        <v>440</v>
      </c>
      <c r="B49" s="28" t="s">
        <v>168</v>
      </c>
      <c r="C49" s="86">
        <v>171482.4</v>
      </c>
      <c r="D49" s="30">
        <f>219734.42</f>
        <v>219734.42</v>
      </c>
    </row>
    <row r="50" spans="1:4">
      <c r="A50" s="8" t="s">
        <v>169</v>
      </c>
      <c r="B50" s="9" t="s">
        <v>170</v>
      </c>
      <c r="C50" s="14">
        <f>C8+C25+C40+C41+C42+C43+C44+C45+C49+C51+C52</f>
        <v>2336802.5400000089</v>
      </c>
      <c r="D50" s="15">
        <f>D8+D25+D40+D41+D42+D43+D44+D45+D49+D51+D52</f>
        <v>2336802.54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1352783.34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1318431.54</f>
        <v>1318431.54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34351.8</f>
        <v>34351.800000000003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725118</f>
        <v>725118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2077901.34</v>
      </c>
      <c r="D59" s="27">
        <f>D54+D57+D58</f>
        <v>0</v>
      </c>
    </row>
    <row r="60" spans="1:4" ht="25.5">
      <c r="A60" s="33" t="s">
        <v>188</v>
      </c>
      <c r="B60" s="9"/>
      <c r="C60" s="34">
        <v>8674.1</v>
      </c>
      <c r="D60" s="35">
        <v>8674.1</v>
      </c>
    </row>
    <row r="61" spans="1:4" ht="15.75" thickBot="1">
      <c r="A61" s="36" t="s">
        <v>189</v>
      </c>
      <c r="B61" s="37"/>
      <c r="C61" s="38">
        <f>(C50+C51+C52)/C60/12</f>
        <v>22.450000000000085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F63" sqref="F63"/>
    </sheetView>
  </sheetViews>
  <sheetFormatPr defaultColWidth="11.7109375" defaultRowHeight="15"/>
  <cols>
    <col min="1" max="1" width="61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2619204.8600000003</v>
      </c>
      <c r="D8" s="11">
        <f>D9+D11+D14+D15</f>
        <v>2517102.59</v>
      </c>
    </row>
    <row r="9" spans="1:4" ht="30">
      <c r="A9" s="12" t="s">
        <v>90</v>
      </c>
      <c r="B9" s="13" t="s">
        <v>91</v>
      </c>
      <c r="C9" s="14">
        <f>2296484.35</f>
        <v>2296484.35</v>
      </c>
      <c r="D9" s="15">
        <f>2273216.05</f>
        <v>2273216.0499999998</v>
      </c>
    </row>
    <row r="10" spans="1:4">
      <c r="A10" s="16" t="s">
        <v>92</v>
      </c>
      <c r="B10" s="17" t="s">
        <v>93</v>
      </c>
      <c r="C10" s="18">
        <f>1476351.20583717</f>
        <v>1476351.2058371699</v>
      </c>
      <c r="D10" s="19">
        <f>_101h_E12</f>
        <v>1476351.2058371699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322720.51</v>
      </c>
      <c r="D15" s="15">
        <f>SUM(D16:D24)</f>
        <v>243886.53999999998</v>
      </c>
    </row>
    <row r="16" spans="1:4">
      <c r="A16" s="22" t="s">
        <v>103</v>
      </c>
      <c r="B16" s="17" t="s">
        <v>104</v>
      </c>
      <c r="C16" s="111">
        <v>206302.8</v>
      </c>
      <c r="D16" s="113">
        <v>110893.36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65364.36</f>
        <v>65364.36</v>
      </c>
      <c r="D18" s="19">
        <f>81939.29</f>
        <v>81939.289999999994</v>
      </c>
    </row>
    <row r="19" spans="1:4">
      <c r="A19" s="22" t="s">
        <v>109</v>
      </c>
      <c r="B19" s="17" t="s">
        <v>110</v>
      </c>
      <c r="C19" s="18">
        <f>6033.96</f>
        <v>6033.96</v>
      </c>
      <c r="D19" s="19">
        <f>6038</f>
        <v>6038</v>
      </c>
    </row>
    <row r="20" spans="1:4">
      <c r="A20" s="22" t="s">
        <v>111</v>
      </c>
      <c r="B20" s="17" t="s">
        <v>112</v>
      </c>
      <c r="C20" s="18">
        <f>7997.62</f>
        <v>7997.62</v>
      </c>
      <c r="D20" s="19">
        <f>7994.12</f>
        <v>7994.12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37021.77</f>
        <v>37021.769999999997</v>
      </c>
      <c r="D22" s="19">
        <f>37021.77</f>
        <v>37021.769999999997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966073.12000001199</v>
      </c>
      <c r="D25" s="15">
        <f>D26+D27+D30+D28+D29+D31</f>
        <v>594053.03</v>
      </c>
    </row>
    <row r="26" spans="1:4" ht="19.5" customHeight="1">
      <c r="A26" s="24" t="s">
        <v>123</v>
      </c>
      <c r="B26" s="20" t="s">
        <v>124</v>
      </c>
      <c r="C26" s="18">
        <f>335592</f>
        <v>335592</v>
      </c>
      <c r="D26" s="19">
        <f>335242.42</f>
        <v>335242.42</v>
      </c>
    </row>
    <row r="27" spans="1:4" ht="36.75" customHeight="1">
      <c r="A27" s="24" t="s">
        <v>125</v>
      </c>
      <c r="B27" s="20" t="s">
        <v>126</v>
      </c>
      <c r="C27" s="18">
        <f>39804.72</f>
        <v>39804.720000000001</v>
      </c>
      <c r="D27" s="19">
        <f>39766.63</f>
        <v>39766.629999999997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41950.08</f>
        <v>41950.080000000002</v>
      </c>
      <c r="D29" s="19">
        <f>41583.3</f>
        <v>41583.300000000003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548726.32000001194</v>
      </c>
      <c r="D31" s="15">
        <f>SUM(D32:D39)</f>
        <v>177460.68</v>
      </c>
    </row>
    <row r="32" spans="1:4" ht="20.25" customHeight="1">
      <c r="A32" s="24" t="s">
        <v>135</v>
      </c>
      <c r="B32" s="17" t="s">
        <v>136</v>
      </c>
      <c r="C32" s="18">
        <f>61262.82</f>
        <v>61262.82</v>
      </c>
      <c r="D32" s="19">
        <f>61262.82</f>
        <v>61262.82</v>
      </c>
    </row>
    <row r="33" spans="1:4">
      <c r="A33" s="24" t="s">
        <v>137</v>
      </c>
      <c r="B33" s="17" t="s">
        <v>138</v>
      </c>
      <c r="C33" s="18">
        <f>54019.08</f>
        <v>54019.08</v>
      </c>
      <c r="D33" s="19">
        <f>47045.36</f>
        <v>47045.36</v>
      </c>
    </row>
    <row r="34" spans="1:4">
      <c r="A34" s="24" t="s">
        <v>139</v>
      </c>
      <c r="B34" s="17" t="s">
        <v>140</v>
      </c>
      <c r="C34" s="18">
        <f>49632.96</f>
        <v>49632.959999999999</v>
      </c>
      <c r="D34" s="19">
        <f>50666.29</f>
        <v>50666.29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f>383811.460000012</f>
        <v>383811.46000001201</v>
      </c>
      <c r="D39" s="19">
        <v>18486.21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0.2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v>391707.18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25190.400000000001</v>
      </c>
      <c r="D45" s="27">
        <f>SUM(D46:D48)</f>
        <v>27812.639999999999</v>
      </c>
    </row>
    <row r="46" spans="1:4">
      <c r="A46" s="21" t="s">
        <v>163</v>
      </c>
      <c r="B46" s="17" t="s">
        <v>164</v>
      </c>
      <c r="C46" s="18">
        <f>24310.08</f>
        <v>24310.080000000002</v>
      </c>
      <c r="D46" s="19">
        <f>26932.32</f>
        <v>26932.32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283573.92</f>
        <v>283573.92</v>
      </c>
      <c r="D49" s="30">
        <f>363366.86</f>
        <v>363366.86</v>
      </c>
    </row>
    <row r="50" spans="1:4">
      <c r="A50" s="8" t="s">
        <v>169</v>
      </c>
      <c r="B50" s="9" t="s">
        <v>170</v>
      </c>
      <c r="C50" s="14">
        <f>C8+C25+C40+C41+C42+C43+C44+C45+C49+C51+C52</f>
        <v>3894042.3000000124</v>
      </c>
      <c r="D50" s="15">
        <f>D8+D25+D40+D41+D42+D43+D44+D45+D49+D51+D52</f>
        <v>3894042.3000000003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2220907.2000000002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2171322.72</f>
        <v>2171322.7200000002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49584.48</f>
        <v>49584.480000000003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1193082</f>
        <v>1193082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3413989.2</v>
      </c>
      <c r="D59" s="27">
        <f>D54+D57+D58</f>
        <v>0</v>
      </c>
    </row>
    <row r="60" spans="1:4" ht="25.5">
      <c r="A60" s="33" t="s">
        <v>188</v>
      </c>
      <c r="B60" s="9"/>
      <c r="C60" s="34">
        <v>14454.5</v>
      </c>
      <c r="D60" s="35">
        <v>14454.5</v>
      </c>
    </row>
    <row r="61" spans="1:4" ht="15.75" thickBot="1">
      <c r="A61" s="36" t="s">
        <v>189</v>
      </c>
      <c r="B61" s="37"/>
      <c r="C61" s="38">
        <f>(C50+C51+C52)/C60/12</f>
        <v>22.45000000000007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60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377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62">
        <v>1521154.8399999999</v>
      </c>
      <c r="D8" s="94">
        <v>1457061.42</v>
      </c>
    </row>
    <row r="9" spans="1:4" ht="30">
      <c r="A9" s="12" t="s">
        <v>90</v>
      </c>
      <c r="B9" s="13" t="s">
        <v>91</v>
      </c>
      <c r="C9" s="63">
        <v>1331814.93</v>
      </c>
      <c r="D9" s="95">
        <v>1331814.93</v>
      </c>
    </row>
    <row r="10" spans="1:4">
      <c r="A10" s="16" t="s">
        <v>92</v>
      </c>
      <c r="B10" s="17" t="s">
        <v>93</v>
      </c>
      <c r="C10" s="64">
        <v>847348.54838709696</v>
      </c>
      <c r="D10" s="96">
        <v>847316.20583717397</v>
      </c>
    </row>
    <row r="11" spans="1:4" ht="21" customHeight="1">
      <c r="A11" s="12" t="s">
        <v>94</v>
      </c>
      <c r="B11" s="20" t="s">
        <v>95</v>
      </c>
      <c r="C11" s="63">
        <v>0</v>
      </c>
      <c r="D11" s="95">
        <v>0</v>
      </c>
    </row>
    <row r="12" spans="1:4">
      <c r="A12" s="21" t="s">
        <v>96</v>
      </c>
      <c r="B12" s="17" t="s">
        <v>97</v>
      </c>
      <c r="C12" s="64">
        <v>0</v>
      </c>
      <c r="D12" s="96">
        <v>0</v>
      </c>
    </row>
    <row r="13" spans="1:4" ht="20.25" customHeight="1">
      <c r="A13" s="88" t="s">
        <v>462</v>
      </c>
      <c r="B13" s="17" t="s">
        <v>98</v>
      </c>
      <c r="C13" s="64">
        <v>0</v>
      </c>
      <c r="D13" s="96">
        <v>0</v>
      </c>
    </row>
    <row r="14" spans="1:4" ht="19.5" customHeight="1">
      <c r="A14" s="12" t="s">
        <v>99</v>
      </c>
      <c r="B14" s="20" t="s">
        <v>100</v>
      </c>
      <c r="C14" s="64">
        <v>0</v>
      </c>
      <c r="D14" s="96">
        <v>0</v>
      </c>
    </row>
    <row r="15" spans="1:4" ht="28.5">
      <c r="A15" s="8" t="s">
        <v>101</v>
      </c>
      <c r="B15" s="20" t="s">
        <v>102</v>
      </c>
      <c r="C15" s="63">
        <v>189339.91000000003</v>
      </c>
      <c r="D15" s="95">
        <v>125246.49</v>
      </c>
    </row>
    <row r="16" spans="1:4">
      <c r="A16" s="22" t="s">
        <v>103</v>
      </c>
      <c r="B16" s="17" t="s">
        <v>104</v>
      </c>
      <c r="C16" s="111">
        <v>128943.96</v>
      </c>
      <c r="D16" s="113">
        <v>57625.86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64">
        <v>28490.04</v>
      </c>
      <c r="D18" s="96">
        <v>35714.400000000001</v>
      </c>
    </row>
    <row r="19" spans="1:4">
      <c r="A19" s="22" t="s">
        <v>109</v>
      </c>
      <c r="B19" s="17" t="s">
        <v>110</v>
      </c>
      <c r="C19" s="64">
        <v>3771.42</v>
      </c>
      <c r="D19" s="96">
        <v>3773.94</v>
      </c>
    </row>
    <row r="20" spans="1:4">
      <c r="A20" s="22" t="s">
        <v>111</v>
      </c>
      <c r="B20" s="17" t="s">
        <v>112</v>
      </c>
      <c r="C20" s="64">
        <v>4995.88</v>
      </c>
      <c r="D20" s="96">
        <v>4993.68</v>
      </c>
    </row>
    <row r="21" spans="1:4">
      <c r="A21" s="22" t="s">
        <v>113</v>
      </c>
      <c r="B21" s="17" t="s">
        <v>114</v>
      </c>
      <c r="C21" s="64">
        <v>0</v>
      </c>
      <c r="D21" s="96">
        <v>0</v>
      </c>
    </row>
    <row r="22" spans="1:4">
      <c r="A22" s="22" t="s">
        <v>115</v>
      </c>
      <c r="B22" s="17" t="s">
        <v>116</v>
      </c>
      <c r="C22" s="64">
        <v>23138.61</v>
      </c>
      <c r="D22" s="96">
        <v>23138.61</v>
      </c>
    </row>
    <row r="23" spans="1:4">
      <c r="A23" s="22" t="s">
        <v>117</v>
      </c>
      <c r="B23" s="17" t="s">
        <v>118</v>
      </c>
      <c r="C23" s="64">
        <v>0</v>
      </c>
      <c r="D23" s="96">
        <v>0</v>
      </c>
    </row>
    <row r="24" spans="1:4" ht="19.5" customHeight="1">
      <c r="A24" s="23" t="s">
        <v>119</v>
      </c>
      <c r="B24" s="17" t="s">
        <v>120</v>
      </c>
      <c r="C24" s="64">
        <v>0</v>
      </c>
      <c r="D24" s="96">
        <v>0</v>
      </c>
    </row>
    <row r="25" spans="1:4">
      <c r="A25" s="8" t="s">
        <v>121</v>
      </c>
      <c r="B25" s="9" t="s">
        <v>122</v>
      </c>
      <c r="C25" s="63">
        <v>614138.78999999608</v>
      </c>
      <c r="D25" s="95">
        <v>313461.70000000007</v>
      </c>
    </row>
    <row r="26" spans="1:4" ht="23.25" customHeight="1">
      <c r="A26" s="24" t="s">
        <v>123</v>
      </c>
      <c r="B26" s="20" t="s">
        <v>124</v>
      </c>
      <c r="C26" s="64">
        <v>167795.88</v>
      </c>
      <c r="D26" s="96">
        <v>166117.92000000001</v>
      </c>
    </row>
    <row r="27" spans="1:4" ht="34.5" customHeight="1">
      <c r="A27" s="24" t="s">
        <v>125</v>
      </c>
      <c r="B27" s="20" t="s">
        <v>126</v>
      </c>
      <c r="C27" s="64">
        <v>25909.08</v>
      </c>
      <c r="D27" s="96">
        <v>25855.759999999998</v>
      </c>
    </row>
    <row r="28" spans="1:4" ht="34.5" customHeight="1">
      <c r="A28" s="21" t="s">
        <v>127</v>
      </c>
      <c r="B28" s="20" t="s">
        <v>128</v>
      </c>
      <c r="C28" s="64">
        <v>0</v>
      </c>
      <c r="D28" s="96">
        <v>0</v>
      </c>
    </row>
    <row r="29" spans="1:4">
      <c r="A29" s="21" t="s">
        <v>129</v>
      </c>
      <c r="B29" s="20" t="s">
        <v>130</v>
      </c>
      <c r="C29" s="64">
        <v>25618.560000000001</v>
      </c>
      <c r="D29" s="96">
        <v>25394.57</v>
      </c>
    </row>
    <row r="30" spans="1:4">
      <c r="A30" s="21" t="s">
        <v>131</v>
      </c>
      <c r="B30" s="20" t="s">
        <v>132</v>
      </c>
      <c r="C30" s="64">
        <v>0</v>
      </c>
      <c r="D30" s="96">
        <v>0</v>
      </c>
    </row>
    <row r="31" spans="1:4">
      <c r="A31" s="25" t="s">
        <v>133</v>
      </c>
      <c r="B31" s="20" t="s">
        <v>134</v>
      </c>
      <c r="C31" s="63">
        <v>394815.269999996</v>
      </c>
      <c r="D31" s="95">
        <v>96093.450000000012</v>
      </c>
    </row>
    <row r="32" spans="1:4" ht="21" customHeight="1">
      <c r="A32" s="24" t="s">
        <v>135</v>
      </c>
      <c r="B32" s="17" t="s">
        <v>136</v>
      </c>
      <c r="C32" s="64">
        <v>38289.26</v>
      </c>
      <c r="D32" s="96">
        <v>38289.26</v>
      </c>
    </row>
    <row r="33" spans="1:4">
      <c r="A33" s="24" t="s">
        <v>137</v>
      </c>
      <c r="B33" s="17" t="s">
        <v>138</v>
      </c>
      <c r="C33" s="64">
        <v>35161.56</v>
      </c>
      <c r="D33" s="96">
        <v>26190.12</v>
      </c>
    </row>
    <row r="34" spans="1:4">
      <c r="A34" s="24" t="s">
        <v>139</v>
      </c>
      <c r="B34" s="17" t="s">
        <v>140</v>
      </c>
      <c r="C34" s="64">
        <v>30969.24</v>
      </c>
      <c r="D34" s="96">
        <v>31614.07</v>
      </c>
    </row>
    <row r="35" spans="1:4">
      <c r="A35" s="24" t="s">
        <v>141</v>
      </c>
      <c r="B35" s="17" t="s">
        <v>142</v>
      </c>
      <c r="C35" s="64">
        <v>0</v>
      </c>
      <c r="D35" s="96">
        <v>0</v>
      </c>
    </row>
    <row r="36" spans="1:4">
      <c r="A36" s="24" t="s">
        <v>143</v>
      </c>
      <c r="B36" s="17" t="s">
        <v>144</v>
      </c>
      <c r="C36" s="64">
        <v>0</v>
      </c>
      <c r="D36" s="96">
        <v>0</v>
      </c>
    </row>
    <row r="37" spans="1:4" ht="18.75" customHeight="1">
      <c r="A37" s="24" t="s">
        <v>145</v>
      </c>
      <c r="B37" s="17" t="s">
        <v>146</v>
      </c>
      <c r="C37" s="64">
        <v>0</v>
      </c>
      <c r="D37" s="96">
        <v>0</v>
      </c>
    </row>
    <row r="38" spans="1:4">
      <c r="A38" s="24" t="s">
        <v>147</v>
      </c>
      <c r="B38" s="17" t="s">
        <v>148</v>
      </c>
      <c r="C38" s="64">
        <v>0</v>
      </c>
      <c r="D38" s="96">
        <v>0</v>
      </c>
    </row>
    <row r="39" spans="1:4">
      <c r="A39" s="24" t="s">
        <v>149</v>
      </c>
      <c r="B39" s="17" t="s">
        <v>150</v>
      </c>
      <c r="C39" s="64">
        <v>290395.209999996</v>
      </c>
      <c r="D39" s="96">
        <v>0</v>
      </c>
    </row>
    <row r="40" spans="1:4" ht="22.5" customHeight="1">
      <c r="A40" s="8" t="s">
        <v>151</v>
      </c>
      <c r="B40" s="9" t="s">
        <v>152</v>
      </c>
      <c r="C40" s="65">
        <v>0</v>
      </c>
      <c r="D40" s="97">
        <v>0</v>
      </c>
    </row>
    <row r="41" spans="1:4" ht="28.5">
      <c r="A41" s="8" t="s">
        <v>153</v>
      </c>
      <c r="B41" s="9" t="s">
        <v>154</v>
      </c>
      <c r="C41" s="65">
        <v>0</v>
      </c>
      <c r="D41" s="97">
        <v>0</v>
      </c>
    </row>
    <row r="42" spans="1:4">
      <c r="A42" s="8" t="s">
        <v>155</v>
      </c>
      <c r="B42" s="9" t="s">
        <v>156</v>
      </c>
      <c r="C42" s="65">
        <v>0</v>
      </c>
      <c r="D42" s="97">
        <v>0</v>
      </c>
    </row>
    <row r="43" spans="1:4" ht="19.5" customHeight="1">
      <c r="A43" s="8" t="s">
        <v>157</v>
      </c>
      <c r="B43" s="9" t="s">
        <v>158</v>
      </c>
      <c r="C43" s="65">
        <v>0</v>
      </c>
      <c r="D43" s="97">
        <v>0</v>
      </c>
    </row>
    <row r="44" spans="1:4">
      <c r="A44" s="8" t="s">
        <v>159</v>
      </c>
      <c r="B44" s="9" t="s">
        <v>160</v>
      </c>
      <c r="C44" s="65">
        <v>0</v>
      </c>
      <c r="D44" s="97">
        <v>0</v>
      </c>
    </row>
    <row r="45" spans="1:4">
      <c r="A45" s="8" t="s">
        <v>161</v>
      </c>
      <c r="B45" s="9" t="s">
        <v>162</v>
      </c>
      <c r="C45" s="65">
        <v>39027.89</v>
      </c>
      <c r="D45" s="97">
        <v>355069.85</v>
      </c>
    </row>
    <row r="46" spans="1:4">
      <c r="A46" s="21" t="s">
        <v>163</v>
      </c>
      <c r="B46" s="17" t="s">
        <v>164</v>
      </c>
      <c r="C46" s="64">
        <v>14845.92</v>
      </c>
      <c r="D46" s="96">
        <v>16447.240000000002</v>
      </c>
    </row>
    <row r="47" spans="1:4">
      <c r="A47" s="21" t="s">
        <v>149</v>
      </c>
      <c r="B47" s="17" t="s">
        <v>165</v>
      </c>
      <c r="C47" s="64">
        <v>23631.77</v>
      </c>
      <c r="D47" s="96">
        <v>338072.41</v>
      </c>
    </row>
    <row r="48" spans="1:4">
      <c r="A48" s="21" t="s">
        <v>166</v>
      </c>
      <c r="B48" s="17" t="s">
        <v>167</v>
      </c>
      <c r="C48" s="64">
        <v>550.20000000000005</v>
      </c>
      <c r="D48" s="96">
        <v>550.20000000000005</v>
      </c>
    </row>
    <row r="49" spans="1:4">
      <c r="A49" s="8" t="s">
        <v>440</v>
      </c>
      <c r="B49" s="28" t="s">
        <v>168</v>
      </c>
      <c r="C49" s="66">
        <v>173176.2</v>
      </c>
      <c r="D49" s="98">
        <v>221904.75</v>
      </c>
    </row>
    <row r="50" spans="1:4">
      <c r="A50" s="8" t="s">
        <v>169</v>
      </c>
      <c r="B50" s="9" t="s">
        <v>170</v>
      </c>
      <c r="C50" s="14">
        <f>C8+C25+C40+C41+C42+C43+C44+C45+C49+C51+C52</f>
        <v>2347497.7199999965</v>
      </c>
      <c r="D50" s="15">
        <f>D8+D25+D40+D41+D42+D43+D44+D45+D49+D51+D52</f>
        <v>2347497.7200000002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1337276.76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1258988.52</f>
        <v>1258988.52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78288.24</f>
        <v>78288.240000000005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683796</f>
        <v>683796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2021072.76</v>
      </c>
      <c r="D59" s="27">
        <f>D54+D57+D58</f>
        <v>0</v>
      </c>
    </row>
    <row r="60" spans="1:4" ht="25.5">
      <c r="A60" s="33" t="s">
        <v>188</v>
      </c>
      <c r="B60" s="9"/>
      <c r="C60" s="34">
        <v>8713.7999999999993</v>
      </c>
      <c r="D60" s="35">
        <v>8713.7999999999993</v>
      </c>
    </row>
    <row r="61" spans="1:4" ht="15.75" thickBot="1">
      <c r="A61" s="36" t="s">
        <v>189</v>
      </c>
      <c r="B61" s="37"/>
      <c r="C61" s="38">
        <f>(C50+C51+C52)/C60/12</f>
        <v>22.449999999999971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59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379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67">
        <v>1542083.4400000002</v>
      </c>
      <c r="D8" s="99">
        <v>1476511.57</v>
      </c>
    </row>
    <row r="9" spans="1:4" ht="30">
      <c r="A9" s="12" t="s">
        <v>90</v>
      </c>
      <c r="B9" s="13" t="s">
        <v>91</v>
      </c>
      <c r="C9" s="68">
        <v>1349948.85</v>
      </c>
      <c r="D9" s="100">
        <v>1349948.85</v>
      </c>
    </row>
    <row r="10" spans="1:4">
      <c r="A10" s="16" t="s">
        <v>92</v>
      </c>
      <c r="B10" s="17" t="s">
        <v>93</v>
      </c>
      <c r="C10" s="69">
        <v>861736.47465437802</v>
      </c>
      <c r="D10" s="101">
        <v>861728.54838709696</v>
      </c>
    </row>
    <row r="11" spans="1:4" ht="21" customHeight="1">
      <c r="A11" s="12" t="s">
        <v>94</v>
      </c>
      <c r="B11" s="20" t="s">
        <v>95</v>
      </c>
      <c r="C11" s="68">
        <v>0</v>
      </c>
      <c r="D11" s="100">
        <v>0</v>
      </c>
    </row>
    <row r="12" spans="1:4">
      <c r="A12" s="21" t="s">
        <v>96</v>
      </c>
      <c r="B12" s="17" t="s">
        <v>97</v>
      </c>
      <c r="C12" s="69">
        <v>0</v>
      </c>
      <c r="D12" s="101">
        <v>0</v>
      </c>
    </row>
    <row r="13" spans="1:4" ht="20.25" customHeight="1">
      <c r="A13" s="88" t="s">
        <v>462</v>
      </c>
      <c r="B13" s="17" t="s">
        <v>98</v>
      </c>
      <c r="C13" s="69">
        <v>0</v>
      </c>
      <c r="D13" s="101">
        <v>0</v>
      </c>
    </row>
    <row r="14" spans="1:4" ht="21.75" customHeight="1">
      <c r="A14" s="12" t="s">
        <v>99</v>
      </c>
      <c r="B14" s="20" t="s">
        <v>100</v>
      </c>
      <c r="C14" s="69">
        <v>0</v>
      </c>
      <c r="D14" s="101">
        <v>0</v>
      </c>
    </row>
    <row r="15" spans="1:4" ht="28.5">
      <c r="A15" s="8" t="s">
        <v>101</v>
      </c>
      <c r="B15" s="20" t="s">
        <v>102</v>
      </c>
      <c r="C15" s="68">
        <v>192134.59000000003</v>
      </c>
      <c r="D15" s="100">
        <v>126562.72000000002</v>
      </c>
    </row>
    <row r="16" spans="1:4">
      <c r="A16" s="22" t="s">
        <v>103</v>
      </c>
      <c r="B16" s="17" t="s">
        <v>104</v>
      </c>
      <c r="C16" s="111">
        <v>128943.96</v>
      </c>
      <c r="D16" s="113">
        <v>55438.71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69">
        <v>31284.720000000001</v>
      </c>
      <c r="D18" s="101">
        <v>39217.78</v>
      </c>
    </row>
    <row r="19" spans="1:4">
      <c r="A19" s="22" t="s">
        <v>109</v>
      </c>
      <c r="B19" s="17" t="s">
        <v>110</v>
      </c>
      <c r="C19" s="69">
        <v>3771.42</v>
      </c>
      <c r="D19" s="101">
        <v>3773.94</v>
      </c>
    </row>
    <row r="20" spans="1:4">
      <c r="A20" s="22" t="s">
        <v>111</v>
      </c>
      <c r="B20" s="17" t="s">
        <v>112</v>
      </c>
      <c r="C20" s="69">
        <v>4995.88</v>
      </c>
      <c r="D20" s="101">
        <v>4993.68</v>
      </c>
    </row>
    <row r="21" spans="1:4">
      <c r="A21" s="22" t="s">
        <v>113</v>
      </c>
      <c r="B21" s="17" t="s">
        <v>114</v>
      </c>
      <c r="C21" s="69">
        <v>0</v>
      </c>
      <c r="D21" s="101">
        <v>0</v>
      </c>
    </row>
    <row r="22" spans="1:4">
      <c r="A22" s="22" t="s">
        <v>115</v>
      </c>
      <c r="B22" s="17" t="s">
        <v>116</v>
      </c>
      <c r="C22" s="69">
        <v>23138.61</v>
      </c>
      <c r="D22" s="101">
        <v>23138.61</v>
      </c>
    </row>
    <row r="23" spans="1:4">
      <c r="A23" s="22" t="s">
        <v>117</v>
      </c>
      <c r="B23" s="17" t="s">
        <v>118</v>
      </c>
      <c r="C23" s="69">
        <v>0</v>
      </c>
      <c r="D23" s="101">
        <v>0</v>
      </c>
    </row>
    <row r="24" spans="1:4" ht="21" customHeight="1">
      <c r="A24" s="23" t="s">
        <v>119</v>
      </c>
      <c r="B24" s="17" t="s">
        <v>120</v>
      </c>
      <c r="C24" s="69">
        <v>0</v>
      </c>
      <c r="D24" s="101">
        <v>0</v>
      </c>
    </row>
    <row r="25" spans="1:4">
      <c r="A25" s="8" t="s">
        <v>121</v>
      </c>
      <c r="B25" s="9" t="s">
        <v>122</v>
      </c>
      <c r="C25" s="68">
        <v>592929.96999999508</v>
      </c>
      <c r="D25" s="100">
        <v>314710.96000000002</v>
      </c>
    </row>
    <row r="26" spans="1:4" ht="21" customHeight="1">
      <c r="A26" s="24" t="s">
        <v>123</v>
      </c>
      <c r="B26" s="20" t="s">
        <v>124</v>
      </c>
      <c r="C26" s="69">
        <v>167795.88</v>
      </c>
      <c r="D26" s="101">
        <v>163041.66</v>
      </c>
    </row>
    <row r="27" spans="1:4" ht="45">
      <c r="A27" s="24" t="s">
        <v>125</v>
      </c>
      <c r="B27" s="20" t="s">
        <v>126</v>
      </c>
      <c r="C27" s="69">
        <v>25909.08</v>
      </c>
      <c r="D27" s="101">
        <v>25855.759999999998</v>
      </c>
    </row>
    <row r="28" spans="1:4" ht="36.75" customHeight="1">
      <c r="A28" s="21" t="s">
        <v>127</v>
      </c>
      <c r="B28" s="20" t="s">
        <v>128</v>
      </c>
      <c r="C28" s="69">
        <v>0</v>
      </c>
      <c r="D28" s="101">
        <v>0</v>
      </c>
    </row>
    <row r="29" spans="1:4">
      <c r="A29" s="21" t="s">
        <v>129</v>
      </c>
      <c r="B29" s="20" t="s">
        <v>130</v>
      </c>
      <c r="C29" s="69">
        <v>25551.360000000001</v>
      </c>
      <c r="D29" s="101">
        <v>25327.91</v>
      </c>
    </row>
    <row r="30" spans="1:4">
      <c r="A30" s="21" t="s">
        <v>131</v>
      </c>
      <c r="B30" s="20" t="s">
        <v>132</v>
      </c>
      <c r="C30" s="69">
        <v>0</v>
      </c>
      <c r="D30" s="101">
        <v>0</v>
      </c>
    </row>
    <row r="31" spans="1:4">
      <c r="A31" s="25" t="s">
        <v>133</v>
      </c>
      <c r="B31" s="20" t="s">
        <v>134</v>
      </c>
      <c r="C31" s="68">
        <v>373673.64999999502</v>
      </c>
      <c r="D31" s="100">
        <v>100485.63</v>
      </c>
    </row>
    <row r="32" spans="1:4" ht="18.75" customHeight="1">
      <c r="A32" s="24" t="s">
        <v>135</v>
      </c>
      <c r="B32" s="17" t="s">
        <v>136</v>
      </c>
      <c r="C32" s="69">
        <v>38289.26</v>
      </c>
      <c r="D32" s="101">
        <v>38289.26</v>
      </c>
    </row>
    <row r="33" spans="1:4">
      <c r="A33" s="24" t="s">
        <v>137</v>
      </c>
      <c r="B33" s="17" t="s">
        <v>138</v>
      </c>
      <c r="C33" s="69">
        <v>35161.56</v>
      </c>
      <c r="D33" s="101">
        <v>30582.3</v>
      </c>
    </row>
    <row r="34" spans="1:4">
      <c r="A34" s="24" t="s">
        <v>139</v>
      </c>
      <c r="B34" s="17" t="s">
        <v>140</v>
      </c>
      <c r="C34" s="69">
        <v>30969.24</v>
      </c>
      <c r="D34" s="101">
        <v>31614.07</v>
      </c>
    </row>
    <row r="35" spans="1:4">
      <c r="A35" s="24" t="s">
        <v>141</v>
      </c>
      <c r="B35" s="17" t="s">
        <v>142</v>
      </c>
      <c r="C35" s="69">
        <v>0</v>
      </c>
      <c r="D35" s="101">
        <v>0</v>
      </c>
    </row>
    <row r="36" spans="1:4">
      <c r="A36" s="24" t="s">
        <v>143</v>
      </c>
      <c r="B36" s="17" t="s">
        <v>144</v>
      </c>
      <c r="C36" s="69">
        <v>0</v>
      </c>
      <c r="D36" s="101">
        <v>0</v>
      </c>
    </row>
    <row r="37" spans="1:4" ht="21" customHeight="1">
      <c r="A37" s="24" t="s">
        <v>145</v>
      </c>
      <c r="B37" s="17" t="s">
        <v>146</v>
      </c>
      <c r="C37" s="69">
        <v>0</v>
      </c>
      <c r="D37" s="101">
        <v>0</v>
      </c>
    </row>
    <row r="38" spans="1:4">
      <c r="A38" s="24" t="s">
        <v>147</v>
      </c>
      <c r="B38" s="17" t="s">
        <v>148</v>
      </c>
      <c r="C38" s="69">
        <v>0</v>
      </c>
      <c r="D38" s="101">
        <v>0</v>
      </c>
    </row>
    <row r="39" spans="1:4">
      <c r="A39" s="24" t="s">
        <v>149</v>
      </c>
      <c r="B39" s="17" t="s">
        <v>150</v>
      </c>
      <c r="C39" s="69">
        <v>269253.58999999502</v>
      </c>
      <c r="D39" s="101">
        <v>0</v>
      </c>
    </row>
    <row r="40" spans="1:4" ht="22.5" customHeight="1">
      <c r="A40" s="8" t="s">
        <v>151</v>
      </c>
      <c r="B40" s="9" t="s">
        <v>152</v>
      </c>
      <c r="C40" s="70">
        <v>0</v>
      </c>
      <c r="D40" s="102">
        <v>0</v>
      </c>
    </row>
    <row r="41" spans="1:4" ht="28.5">
      <c r="A41" s="8" t="s">
        <v>153</v>
      </c>
      <c r="B41" s="9" t="s">
        <v>154</v>
      </c>
      <c r="C41" s="70">
        <v>0</v>
      </c>
      <c r="D41" s="102">
        <v>0</v>
      </c>
    </row>
    <row r="42" spans="1:4">
      <c r="A42" s="8" t="s">
        <v>155</v>
      </c>
      <c r="B42" s="9" t="s">
        <v>156</v>
      </c>
      <c r="C42" s="70">
        <v>0</v>
      </c>
      <c r="D42" s="102">
        <v>0</v>
      </c>
    </row>
    <row r="43" spans="1:4" ht="20.25" customHeight="1">
      <c r="A43" s="8" t="s">
        <v>157</v>
      </c>
      <c r="B43" s="9" t="s">
        <v>158</v>
      </c>
      <c r="C43" s="70">
        <v>0</v>
      </c>
      <c r="D43" s="102">
        <v>0</v>
      </c>
    </row>
    <row r="44" spans="1:4">
      <c r="A44" s="8" t="s">
        <v>159</v>
      </c>
      <c r="B44" s="9" t="s">
        <v>160</v>
      </c>
      <c r="C44" s="70">
        <v>0</v>
      </c>
      <c r="D44" s="102">
        <v>0</v>
      </c>
    </row>
    <row r="45" spans="1:4">
      <c r="A45" s="8" t="s">
        <v>161</v>
      </c>
      <c r="B45" s="9" t="s">
        <v>162</v>
      </c>
      <c r="C45" s="70">
        <v>38927.050000000003</v>
      </c>
      <c r="D45" s="102">
        <v>334117.16000000003</v>
      </c>
    </row>
    <row r="46" spans="1:4">
      <c r="A46" s="21" t="s">
        <v>163</v>
      </c>
      <c r="B46" s="17" t="s">
        <v>164</v>
      </c>
      <c r="C46" s="69">
        <v>14807.04</v>
      </c>
      <c r="D46" s="101">
        <v>16404.18</v>
      </c>
    </row>
    <row r="47" spans="1:4">
      <c r="A47" s="21" t="s">
        <v>149</v>
      </c>
      <c r="B47" s="17" t="s">
        <v>165</v>
      </c>
      <c r="C47" s="69">
        <v>23569.81</v>
      </c>
      <c r="D47" s="101">
        <v>317162.78000000003</v>
      </c>
    </row>
    <row r="48" spans="1:4">
      <c r="A48" s="21" t="s">
        <v>166</v>
      </c>
      <c r="B48" s="17" t="s">
        <v>167</v>
      </c>
      <c r="C48" s="69">
        <v>550.20000000000005</v>
      </c>
      <c r="D48" s="101">
        <v>550.20000000000005</v>
      </c>
    </row>
    <row r="49" spans="1:4">
      <c r="A49" s="8" t="s">
        <v>440</v>
      </c>
      <c r="B49" s="28" t="s">
        <v>168</v>
      </c>
      <c r="C49" s="71">
        <v>172722.12</v>
      </c>
      <c r="D49" s="103">
        <v>221322.89</v>
      </c>
    </row>
    <row r="50" spans="1:4">
      <c r="A50" s="8" t="s">
        <v>169</v>
      </c>
      <c r="B50" s="9" t="s">
        <v>170</v>
      </c>
      <c r="C50" s="14">
        <f>C8+C25+C40+C41+C42+C43+C44+C45+C49+C51+C52</f>
        <v>2346662.5799999954</v>
      </c>
      <c r="D50" s="15">
        <f>D8+D25+D40+D41+D42+D43+D44+D45+D49+D51+D52</f>
        <v>2346662.58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1392134.28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1312284.84</f>
        <v>1312284.8400000001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79849.44</f>
        <v>79849.440000000002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720474</f>
        <v>720474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2112608.2800000003</v>
      </c>
      <c r="D59" s="27">
        <f>D54+D57+D58</f>
        <v>0</v>
      </c>
    </row>
    <row r="60" spans="1:4" ht="25.5">
      <c r="A60" s="33" t="s">
        <v>188</v>
      </c>
      <c r="B60" s="9"/>
      <c r="C60" s="34">
        <v>8710.7000000000007</v>
      </c>
      <c r="D60" s="35">
        <v>8710.7000000000007</v>
      </c>
    </row>
    <row r="61" spans="1:4" ht="15.75" thickBot="1">
      <c r="A61" s="36" t="s">
        <v>189</v>
      </c>
      <c r="B61" s="37"/>
      <c r="C61" s="38">
        <f>(C50+C51+C52)/C60/12</f>
        <v>22.449999999999957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F261"/>
  <sheetViews>
    <sheetView workbookViewId="0">
      <selection activeCell="D17" sqref="D17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381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2384559.71</v>
      </c>
      <c r="D8" s="11">
        <f>D9+D11+D14+D15</f>
        <v>2501890.91</v>
      </c>
    </row>
    <row r="9" spans="1:4" ht="30">
      <c r="A9" s="12" t="s">
        <v>90</v>
      </c>
      <c r="B9" s="13" t="s">
        <v>91</v>
      </c>
      <c r="C9" s="14">
        <f>2318748.51</f>
        <v>2318748.5099999998</v>
      </c>
      <c r="D9" s="15">
        <f>2128200.43</f>
        <v>2128200.4300000002</v>
      </c>
    </row>
    <row r="10" spans="1:4">
      <c r="A10" s="16" t="s">
        <v>92</v>
      </c>
      <c r="B10" s="17" t="s">
        <v>93</v>
      </c>
      <c r="C10" s="18">
        <f>1519707.67281106</f>
        <v>1519707.67281106</v>
      </c>
      <c r="D10" s="19">
        <f>_104h_E12</f>
        <v>1519707.67281106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65811.199999999997</v>
      </c>
      <c r="D15" s="15">
        <f>SUM(D16:D24)</f>
        <v>373690.48</v>
      </c>
    </row>
    <row r="16" spans="1:4">
      <c r="A16" s="22" t="s">
        <v>103</v>
      </c>
      <c r="B16" s="17" t="s">
        <v>104</v>
      </c>
      <c r="C16" s="18">
        <v>43502.76</v>
      </c>
      <c r="D16" s="19">
        <v>352902.76</v>
      </c>
    </row>
    <row r="17" spans="1:4">
      <c r="A17" s="22" t="s">
        <v>105</v>
      </c>
      <c r="B17" s="17" t="s">
        <v>106</v>
      </c>
      <c r="C17" s="18"/>
      <c r="D17" s="19"/>
    </row>
    <row r="18" spans="1:4">
      <c r="A18" s="22" t="s">
        <v>107</v>
      </c>
      <c r="B18" s="17" t="s">
        <v>108</v>
      </c>
      <c r="C18" s="18">
        <f>9646.88</f>
        <v>9646.8799999999992</v>
      </c>
      <c r="D18" s="19">
        <f>8123.5</f>
        <v>8123.5</v>
      </c>
    </row>
    <row r="19" spans="1:4">
      <c r="A19" s="22" t="s">
        <v>109</v>
      </c>
      <c r="B19" s="17" t="s">
        <v>110</v>
      </c>
      <c r="C19" s="18">
        <f>7423.18</f>
        <v>7423.18</v>
      </c>
      <c r="D19" s="19">
        <f>7428.16</f>
        <v>7428.16</v>
      </c>
    </row>
    <row r="20" spans="1:4">
      <c r="A20" s="22" t="s">
        <v>111</v>
      </c>
      <c r="B20" s="17" t="s">
        <v>112</v>
      </c>
      <c r="C20" s="18">
        <f>5238.38</f>
        <v>5238.38</v>
      </c>
      <c r="D20" s="19">
        <f>5236.06</f>
        <v>5236.0600000000004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943897.80999999994</v>
      </c>
      <c r="D25" s="15">
        <f>D26+D27+D30+D28+D29+D31</f>
        <v>852432.81</v>
      </c>
    </row>
    <row r="26" spans="1:4">
      <c r="A26" s="24" t="s">
        <v>123</v>
      </c>
      <c r="B26" s="20" t="s">
        <v>124</v>
      </c>
      <c r="C26" s="18">
        <v>496854.8</v>
      </c>
      <c r="D26" s="19">
        <f>417019.33</f>
        <v>417019.33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29.25" customHeight="1">
      <c r="A28" s="21" t="s">
        <v>127</v>
      </c>
      <c r="B28" s="20" t="s">
        <v>128</v>
      </c>
      <c r="C28" s="18">
        <f>190080</f>
        <v>190080</v>
      </c>
      <c r="D28" s="19">
        <f>190079.88</f>
        <v>190079.88</v>
      </c>
    </row>
    <row r="29" spans="1:4">
      <c r="A29" s="21" t="s">
        <v>129</v>
      </c>
      <c r="B29" s="20" t="s">
        <v>130</v>
      </c>
      <c r="C29" s="18">
        <f>38118.36</f>
        <v>38118.36</v>
      </c>
      <c r="D29" s="19">
        <f>37785.02</f>
        <v>37785.019999999997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182369.09</v>
      </c>
      <c r="D31" s="15">
        <f>SUM(D32:D39)</f>
        <v>171110.97</v>
      </c>
    </row>
    <row r="32" spans="1:4" ht="20.25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39298.82</f>
        <v>39298.82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0</f>
        <v>0</v>
      </c>
      <c r="D39" s="19">
        <f>0</f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15902.88</v>
      </c>
      <c r="D45" s="27">
        <f>SUM(D46:D48)</f>
        <v>12403.6</v>
      </c>
    </row>
    <row r="46" spans="1:4">
      <c r="A46" s="21" t="s">
        <v>163</v>
      </c>
      <c r="B46" s="17" t="s">
        <v>164</v>
      </c>
      <c r="C46" s="18">
        <f>15462.72</f>
        <v>15462.72</v>
      </c>
      <c r="D46" s="19">
        <f>11963.44</f>
        <v>11963.44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6">
      <c r="A49" s="8" t="s">
        <v>440</v>
      </c>
      <c r="B49" s="28" t="s">
        <v>168</v>
      </c>
      <c r="C49" s="29">
        <f>171848.4</f>
        <v>171848.4</v>
      </c>
      <c r="D49" s="30">
        <f>149481.48</f>
        <v>149481.48000000001</v>
      </c>
    </row>
    <row r="50" spans="1:6">
      <c r="A50" s="8" t="s">
        <v>169</v>
      </c>
      <c r="B50" s="9" t="s">
        <v>170</v>
      </c>
      <c r="C50" s="14">
        <f>C8+C25+C40+C41+C42+C43+C44+C45+C49+C51+C52</f>
        <v>3516208.8</v>
      </c>
      <c r="D50" s="15">
        <f>D8+D25+D40+D41+D42+D43+D44+D45+D49+D51+D52</f>
        <v>3516208.8000000003</v>
      </c>
    </row>
    <row r="51" spans="1:6">
      <c r="A51" s="8" t="s">
        <v>171</v>
      </c>
      <c r="B51" s="9" t="s">
        <v>172</v>
      </c>
      <c r="C51" s="26"/>
      <c r="D51" s="27"/>
    </row>
    <row r="52" spans="1:6">
      <c r="A52" s="8" t="s">
        <v>173</v>
      </c>
      <c r="B52" s="9" t="s">
        <v>174</v>
      </c>
      <c r="C52" s="26"/>
      <c r="D52" s="27"/>
    </row>
    <row r="53" spans="1:6" ht="28.5" hidden="1">
      <c r="A53" s="45" t="s">
        <v>175</v>
      </c>
      <c r="B53" s="20"/>
      <c r="C53" s="18"/>
      <c r="D53" s="19"/>
    </row>
    <row r="54" spans="1:6" ht="28.5" hidden="1">
      <c r="A54" s="45" t="s">
        <v>176</v>
      </c>
      <c r="B54" s="9" t="s">
        <v>177</v>
      </c>
      <c r="C54" s="26">
        <f>SUM(C55:C56)</f>
        <v>1991301.96</v>
      </c>
      <c r="D54" s="27">
        <f>SUM(D55:D56)</f>
        <v>0</v>
      </c>
    </row>
    <row r="55" spans="1:6" hidden="1">
      <c r="A55" s="21" t="s">
        <v>178</v>
      </c>
      <c r="B55" s="17" t="s">
        <v>179</v>
      </c>
      <c r="C55" s="18">
        <f>1870849.8</f>
        <v>1870849.8</v>
      </c>
      <c r="D55" s="19">
        <f>0</f>
        <v>0</v>
      </c>
    </row>
    <row r="56" spans="1:6" hidden="1">
      <c r="A56" s="21" t="s">
        <v>180</v>
      </c>
      <c r="B56" s="17" t="s">
        <v>181</v>
      </c>
      <c r="C56" s="18">
        <f>120452.16</f>
        <v>120452.16</v>
      </c>
      <c r="D56" s="19">
        <f>0</f>
        <v>0</v>
      </c>
    </row>
    <row r="57" spans="1:6" ht="28.5" hidden="1">
      <c r="A57" s="45" t="s">
        <v>182</v>
      </c>
      <c r="B57" s="9" t="s">
        <v>183</v>
      </c>
      <c r="C57" s="26"/>
      <c r="D57" s="27"/>
    </row>
    <row r="58" spans="1:6" hidden="1">
      <c r="A58" s="31" t="s">
        <v>184</v>
      </c>
      <c r="B58" s="28" t="s">
        <v>185</v>
      </c>
      <c r="C58" s="29">
        <f>966156</f>
        <v>966156</v>
      </c>
      <c r="D58" s="30">
        <f>0</f>
        <v>0</v>
      </c>
    </row>
    <row r="59" spans="1:6" hidden="1">
      <c r="A59" s="45" t="s">
        <v>186</v>
      </c>
      <c r="B59" s="9"/>
      <c r="C59" s="26">
        <f>C54+C57+C58</f>
        <v>2957457.96</v>
      </c>
      <c r="D59" s="27">
        <f>D54+D57+D58</f>
        <v>0</v>
      </c>
      <c r="F59" s="87"/>
    </row>
    <row r="60" spans="1:6" ht="25.5">
      <c r="A60" s="33" t="s">
        <v>188</v>
      </c>
      <c r="B60" s="9"/>
      <c r="C60" s="34">
        <v>13052</v>
      </c>
      <c r="D60" s="35">
        <v>13052</v>
      </c>
    </row>
    <row r="61" spans="1:6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6">
      <c r="A62" s="40"/>
      <c r="B62" s="41"/>
      <c r="C62" s="41"/>
      <c r="D62" s="41"/>
    </row>
    <row r="63" spans="1:6">
      <c r="A63" s="40"/>
      <c r="B63" s="2"/>
      <c r="C63" s="2"/>
      <c r="D63" s="2"/>
    </row>
    <row r="64" spans="1:6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5"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D261"/>
  <sheetViews>
    <sheetView topLeftCell="A22" workbookViewId="0">
      <selection activeCell="F15" sqref="F15"/>
    </sheetView>
  </sheetViews>
  <sheetFormatPr defaultColWidth="11.7109375" defaultRowHeight="15"/>
  <cols>
    <col min="1" max="1" width="57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5158174.5299999993</v>
      </c>
      <c r="D8" s="11">
        <f>D9+D11+D14+D15</f>
        <v>5032286.43</v>
      </c>
    </row>
    <row r="9" spans="1:4" ht="30">
      <c r="A9" s="12" t="s">
        <v>90</v>
      </c>
      <c r="B9" s="13" t="s">
        <v>91</v>
      </c>
      <c r="C9" s="14">
        <f>4454039.09</f>
        <v>4454039.09</v>
      </c>
      <c r="D9" s="15">
        <f>4331379.13</f>
        <v>4331379.13</v>
      </c>
    </row>
    <row r="10" spans="1:4">
      <c r="A10" s="16" t="s">
        <v>92</v>
      </c>
      <c r="B10" s="17" t="s">
        <v>93</v>
      </c>
      <c r="C10" s="18">
        <f>2790541.97388633</f>
        <v>2790541.9738863301</v>
      </c>
      <c r="D10" s="19">
        <f>_105h_E12</f>
        <v>2790541.9738863301</v>
      </c>
    </row>
    <row r="11" spans="1:4" ht="17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6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704135.44</v>
      </c>
      <c r="D15" s="15">
        <f>SUM(D16:D24)</f>
        <v>700907.29999999993</v>
      </c>
    </row>
    <row r="16" spans="1:4">
      <c r="A16" s="22" t="s">
        <v>103</v>
      </c>
      <c r="B16" s="17" t="s">
        <v>104</v>
      </c>
      <c r="C16" s="111">
        <v>563799.24</v>
      </c>
      <c r="D16" s="113">
        <v>531391.18999999994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115047.48</f>
        <v>115047.48</v>
      </c>
      <c r="D18" s="19">
        <f>144220.99</f>
        <v>144220.99</v>
      </c>
    </row>
    <row r="19" spans="1:4">
      <c r="A19" s="22" t="s">
        <v>109</v>
      </c>
      <c r="B19" s="17" t="s">
        <v>110</v>
      </c>
      <c r="C19" s="18">
        <f>15744.1</f>
        <v>15744.1</v>
      </c>
      <c r="D19" s="19">
        <f>15754.68</f>
        <v>15754.68</v>
      </c>
    </row>
    <row r="20" spans="1:4">
      <c r="A20" s="22" t="s">
        <v>111</v>
      </c>
      <c r="B20" s="17" t="s">
        <v>112</v>
      </c>
      <c r="C20" s="18">
        <f>9544.62</f>
        <v>9544.6200000000008</v>
      </c>
      <c r="D20" s="19">
        <f>9540.44</f>
        <v>9540.44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2650731.6300000004</v>
      </c>
      <c r="D25" s="15">
        <f>D26+D27+D30+D28+D29+D31</f>
        <v>2595889.3599999994</v>
      </c>
    </row>
    <row r="26" spans="1:4" ht="22.5" customHeight="1">
      <c r="A26" s="24" t="s">
        <v>123</v>
      </c>
      <c r="B26" s="20" t="s">
        <v>124</v>
      </c>
      <c r="C26" s="18">
        <f>1060477.56</f>
        <v>1060477.56</v>
      </c>
      <c r="D26" s="19">
        <f>1042185.35</f>
        <v>1042185.35</v>
      </c>
    </row>
    <row r="27" spans="1:4" ht="45">
      <c r="A27" s="24" t="s">
        <v>125</v>
      </c>
      <c r="B27" s="20" t="s">
        <v>126</v>
      </c>
      <c r="C27" s="18">
        <f>71648.28</f>
        <v>71648.28</v>
      </c>
      <c r="D27" s="19">
        <f>71564.52</f>
        <v>71564.52</v>
      </c>
    </row>
    <row r="28" spans="1:4" ht="33.75" customHeight="1">
      <c r="A28" s="21" t="s">
        <v>127</v>
      </c>
      <c r="B28" s="20" t="s">
        <v>128</v>
      </c>
      <c r="C28" s="18">
        <f>544608</f>
        <v>544608</v>
      </c>
      <c r="D28" s="19">
        <f>544608.12</f>
        <v>544608.12</v>
      </c>
    </row>
    <row r="29" spans="1:4">
      <c r="A29" s="21" t="s">
        <v>129</v>
      </c>
      <c r="B29" s="20" t="s">
        <v>130</v>
      </c>
      <c r="C29" s="18">
        <f>91992.84</f>
        <v>91992.84</v>
      </c>
      <c r="D29" s="19">
        <f>91188.63</f>
        <v>91188.63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882004.95000000007</v>
      </c>
      <c r="D31" s="15">
        <f>SUM(D32:D39)</f>
        <v>846342.74</v>
      </c>
    </row>
    <row r="32" spans="1:4" ht="18" customHeight="1">
      <c r="A32" s="24" t="s">
        <v>135</v>
      </c>
      <c r="B32" s="17" t="s">
        <v>136</v>
      </c>
      <c r="C32" s="18">
        <f>61262.82</f>
        <v>61262.82</v>
      </c>
      <c r="D32" s="19">
        <f>61262.82</f>
        <v>61262.82</v>
      </c>
    </row>
    <row r="33" spans="1:4">
      <c r="A33" s="24" t="s">
        <v>137</v>
      </c>
      <c r="B33" s="17" t="s">
        <v>138</v>
      </c>
      <c r="C33" s="18">
        <f>97234.56</f>
        <v>97234.559999999998</v>
      </c>
      <c r="D33" s="19">
        <f>90286.98</f>
        <v>90286.98</v>
      </c>
    </row>
    <row r="34" spans="1:4">
      <c r="A34" s="24" t="s">
        <v>139</v>
      </c>
      <c r="B34" s="17" t="s">
        <v>140</v>
      </c>
      <c r="C34" s="18">
        <f>58093.08</f>
        <v>58093.08</v>
      </c>
      <c r="D34" s="19">
        <f>57082.87</f>
        <v>57082.87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v>637710.06999999995</v>
      </c>
      <c r="D37" s="19">
        <f>637710.07</f>
        <v>637710.06999999995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27704.42</v>
      </c>
      <c r="D39" s="19">
        <f>0</f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55070.879999999997</v>
      </c>
      <c r="D45" s="27">
        <f>SUM(D46:D48)</f>
        <v>60821.299999999996</v>
      </c>
    </row>
    <row r="46" spans="1:4">
      <c r="A46" s="21" t="s">
        <v>163</v>
      </c>
      <c r="B46" s="17" t="s">
        <v>164</v>
      </c>
      <c r="C46" s="18">
        <f>53310</f>
        <v>53310</v>
      </c>
      <c r="D46" s="19">
        <f>59060.42</f>
        <v>59060.42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1760.88</f>
        <v>1760.88</v>
      </c>
      <c r="D48" s="19">
        <f>1760.88</f>
        <v>1760.88</v>
      </c>
    </row>
    <row r="49" spans="1:4">
      <c r="A49" s="8" t="s">
        <v>440</v>
      </c>
      <c r="B49" s="28" t="s">
        <v>168</v>
      </c>
      <c r="C49" s="29">
        <f>621853.56</f>
        <v>621853.56000000006</v>
      </c>
      <c r="D49" s="30">
        <f>796833.51</f>
        <v>796833.51</v>
      </c>
    </row>
    <row r="50" spans="1:4">
      <c r="A50" s="8" t="s">
        <v>169</v>
      </c>
      <c r="B50" s="9" t="s">
        <v>170</v>
      </c>
      <c r="C50" s="14">
        <f>C8+C25+C40+C41+C42+C43+C44+C45+C49+C51+C52</f>
        <v>8485830.5999999996</v>
      </c>
      <c r="D50" s="15">
        <f>D8+D25+D40+D41+D42+D43+D44+D45+D49+D51+D52</f>
        <v>8485830.5999999996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5021407.68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4773535.92</f>
        <v>4773535.92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247871.76</f>
        <v>247871.76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2576628</f>
        <v>2576628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7598035.6799999997</v>
      </c>
      <c r="D59" s="27">
        <f>D54+D57+D58</f>
        <v>0</v>
      </c>
    </row>
    <row r="60" spans="1:4" ht="25.5">
      <c r="A60" s="33" t="s">
        <v>188</v>
      </c>
      <c r="B60" s="9"/>
      <c r="C60" s="34">
        <v>31499</v>
      </c>
      <c r="D60" s="35">
        <v>31499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G14" sqref="G14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1.75" customHeight="1">
      <c r="A5" s="115" t="s">
        <v>83</v>
      </c>
      <c r="B5" s="117" t="s">
        <v>84</v>
      </c>
      <c r="C5" s="119" t="s">
        <v>384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2525197.7699999996</v>
      </c>
      <c r="D8" s="11">
        <f>D9+D11+D14+D15</f>
        <v>2462108.2799999998</v>
      </c>
    </row>
    <row r="9" spans="1:4" ht="30">
      <c r="A9" s="12" t="s">
        <v>90</v>
      </c>
      <c r="B9" s="13" t="s">
        <v>91</v>
      </c>
      <c r="C9" s="14">
        <f>2179950.53</f>
        <v>2179950.5299999998</v>
      </c>
      <c r="D9" s="15">
        <f>2172128.26</f>
        <v>2172128.2599999998</v>
      </c>
    </row>
    <row r="10" spans="1:4">
      <c r="A10" s="16" t="s">
        <v>92</v>
      </c>
      <c r="B10" s="17" t="s">
        <v>93</v>
      </c>
      <c r="C10" s="18">
        <f>1353806.58218126</f>
        <v>1353806.58218126</v>
      </c>
      <c r="D10" s="19">
        <f>_106h_E12</f>
        <v>1353806.58218126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345247.24</v>
      </c>
      <c r="D15" s="15">
        <f>SUM(D16:D24)</f>
        <v>289980.02</v>
      </c>
    </row>
    <row r="16" spans="1:4">
      <c r="A16" s="22" t="s">
        <v>103</v>
      </c>
      <c r="B16" s="17" t="s">
        <v>104</v>
      </c>
      <c r="C16" s="111">
        <v>281896.32000000001</v>
      </c>
      <c r="D16" s="113">
        <v>214264.54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48751.44</f>
        <v>48751.44</v>
      </c>
      <c r="D18" s="19">
        <f>61113.64</f>
        <v>61113.64</v>
      </c>
    </row>
    <row r="19" spans="1:4">
      <c r="A19" s="22" t="s">
        <v>109</v>
      </c>
      <c r="B19" s="17" t="s">
        <v>110</v>
      </c>
      <c r="C19" s="18">
        <f>7872.22</f>
        <v>7872.22</v>
      </c>
      <c r="D19" s="19">
        <f>7877.52</f>
        <v>7877.52</v>
      </c>
    </row>
    <row r="20" spans="1:4">
      <c r="A20" s="22" t="s">
        <v>111</v>
      </c>
      <c r="B20" s="17" t="s">
        <v>112</v>
      </c>
      <c r="C20" s="18">
        <f>6727.26</f>
        <v>6727.26</v>
      </c>
      <c r="D20" s="19">
        <f>6724.32</f>
        <v>6724.32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1445090.19</v>
      </c>
      <c r="D25" s="15">
        <f>D26+D27+D30+D28+D29+D31</f>
        <v>1416291.24</v>
      </c>
    </row>
    <row r="26" spans="1:4" ht="20.25" customHeight="1">
      <c r="A26" s="24" t="s">
        <v>123</v>
      </c>
      <c r="B26" s="20" t="s">
        <v>124</v>
      </c>
      <c r="C26" s="18">
        <f>529470.72</f>
        <v>529470.71999999997</v>
      </c>
      <c r="D26" s="19">
        <f>499136.46</f>
        <v>499136.46</v>
      </c>
    </row>
    <row r="27" spans="1:4" ht="45">
      <c r="A27" s="24" t="s">
        <v>125</v>
      </c>
      <c r="B27" s="20" t="s">
        <v>126</v>
      </c>
      <c r="C27" s="18">
        <f>36041.4</f>
        <v>36041.4</v>
      </c>
      <c r="D27" s="19">
        <f>36109.93</f>
        <v>36109.93</v>
      </c>
    </row>
    <row r="28" spans="1:4" ht="28.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46771.92</f>
        <v>46771.92</v>
      </c>
      <c r="D29" s="19">
        <f>46363.07</f>
        <v>46363.07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560502.15</v>
      </c>
      <c r="D31" s="15">
        <f>SUM(D32:D39)</f>
        <v>562377.78</v>
      </c>
    </row>
    <row r="32" spans="1:4" ht="21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48911.88</f>
        <v>48911.88</v>
      </c>
      <c r="D33" s="19">
        <f>30994.11</f>
        <v>30994.11</v>
      </c>
    </row>
    <row r="34" spans="1:4">
      <c r="A34" s="24" t="s">
        <v>139</v>
      </c>
      <c r="B34" s="17" t="s">
        <v>140</v>
      </c>
      <c r="C34" s="18">
        <f>29072.16</f>
        <v>29072.16</v>
      </c>
      <c r="D34" s="19">
        <f>28566.6</f>
        <v>28566.6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5.75" customHeight="1">
      <c r="A37" s="24" t="s">
        <v>145</v>
      </c>
      <c r="B37" s="17" t="s">
        <v>146</v>
      </c>
      <c r="C37" s="18">
        <v>365749.93</v>
      </c>
      <c r="D37" s="19">
        <f>365749.93</f>
        <v>365749.93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86136.77</v>
      </c>
      <c r="D39" s="19">
        <f>106435.73</f>
        <v>106435.73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27984.720000000001</v>
      </c>
      <c r="D45" s="27">
        <f>SUM(D46:D48)</f>
        <v>30908.41</v>
      </c>
    </row>
    <row r="46" spans="1:4">
      <c r="A46" s="21" t="s">
        <v>163</v>
      </c>
      <c r="B46" s="17" t="s">
        <v>164</v>
      </c>
      <c r="C46" s="18">
        <f>27104.4</f>
        <v>27104.400000000001</v>
      </c>
      <c r="D46" s="19">
        <f>30028.09</f>
        <v>30028.09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316168.32</f>
        <v>316168.32000000001</v>
      </c>
      <c r="D49" s="30">
        <f>405133.07</f>
        <v>405133.07</v>
      </c>
    </row>
    <row r="50" spans="1:4">
      <c r="A50" s="8" t="s">
        <v>169</v>
      </c>
      <c r="B50" s="9" t="s">
        <v>170</v>
      </c>
      <c r="C50" s="14">
        <f>C8+C25+C40+C41+C42+C43+C44+C45+C49+C51+C52</f>
        <v>4314441</v>
      </c>
      <c r="D50" s="15">
        <f>D8+D25+D40+D41+D42+D43+D44+D45+D49+D51+D52</f>
        <v>4314441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2515788.96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2335500.12</f>
        <v>2335500.12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180288.84</f>
        <v>180288.84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1233210</f>
        <v>1233210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3748998.96</v>
      </c>
      <c r="D59" s="27">
        <f>D54+D57+D58</f>
        <v>0</v>
      </c>
    </row>
    <row r="60" spans="1:4" ht="25.5">
      <c r="A60" s="33" t="s">
        <v>188</v>
      </c>
      <c r="B60" s="9"/>
      <c r="C60" s="34">
        <v>16015</v>
      </c>
      <c r="D60" s="35">
        <v>16015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F52" sqref="F52"/>
    </sheetView>
  </sheetViews>
  <sheetFormatPr defaultColWidth="11.7109375" defaultRowHeight="15"/>
  <cols>
    <col min="1" max="1" width="58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386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2564834.65</v>
      </c>
      <c r="D8" s="11">
        <f>D9+D11+D14+D15</f>
        <v>2481375.0100000002</v>
      </c>
    </row>
    <row r="9" spans="1:4" ht="30">
      <c r="A9" s="12" t="s">
        <v>90</v>
      </c>
      <c r="B9" s="13" t="s">
        <v>91</v>
      </c>
      <c r="C9" s="14">
        <f>2213690.26</f>
        <v>2213690.2599999998</v>
      </c>
      <c r="D9" s="15">
        <f>2149708.97</f>
        <v>2149708.9700000002</v>
      </c>
    </row>
    <row r="10" spans="1:4">
      <c r="A10" s="16" t="s">
        <v>92</v>
      </c>
      <c r="B10" s="17" t="s">
        <v>93</v>
      </c>
      <c r="C10" s="18">
        <f>1403906.89708141</f>
        <v>1403906.89708141</v>
      </c>
      <c r="D10" s="19">
        <f>_107h_E12</f>
        <v>1403906.89708141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351144.39</v>
      </c>
      <c r="D15" s="15">
        <f>SUM(D16:D24)</f>
        <v>331666.03999999998</v>
      </c>
    </row>
    <row r="16" spans="1:4">
      <c r="A16" s="22" t="s">
        <v>103</v>
      </c>
      <c r="B16" s="17" t="s">
        <v>104</v>
      </c>
      <c r="C16" s="111">
        <v>278760.59999999998</v>
      </c>
      <c r="D16" s="113">
        <v>244421.74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58591.49</f>
        <v>58591.49</v>
      </c>
      <c r="D18" s="19">
        <f>73449</f>
        <v>73449</v>
      </c>
    </row>
    <row r="19" spans="1:4">
      <c r="A19" s="22" t="s">
        <v>109</v>
      </c>
      <c r="B19" s="17" t="s">
        <v>110</v>
      </c>
      <c r="C19" s="18">
        <f>8157.84</f>
        <v>8157.84</v>
      </c>
      <c r="D19" s="19">
        <f>8163.32</f>
        <v>8163.32</v>
      </c>
    </row>
    <row r="20" spans="1:4">
      <c r="A20" s="22" t="s">
        <v>111</v>
      </c>
      <c r="B20" s="17" t="s">
        <v>112</v>
      </c>
      <c r="C20" s="18">
        <f>5634.46</f>
        <v>5634.46</v>
      </c>
      <c r="D20" s="19">
        <f>5631.98</f>
        <v>5631.98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1502407.67</v>
      </c>
      <c r="D25" s="15">
        <f>D26+D27+D30+D28+D29+D31</f>
        <v>1491735.41</v>
      </c>
    </row>
    <row r="26" spans="1:4" ht="21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45">
      <c r="A27" s="24" t="s">
        <v>125</v>
      </c>
      <c r="B27" s="20" t="s">
        <v>126</v>
      </c>
      <c r="C27" s="18">
        <f>37054.56</f>
        <v>37054.559999999998</v>
      </c>
      <c r="D27" s="19">
        <f>37024.1</f>
        <v>37024.1</v>
      </c>
    </row>
    <row r="28" spans="1:4" ht="33.7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47913.84</f>
        <v>47913.84</v>
      </c>
      <c r="D29" s="19">
        <f>47494.97</f>
        <v>47494.97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555607.90999999992</v>
      </c>
      <c r="D31" s="15">
        <f>SUM(D32:D39)</f>
        <v>545384.98</v>
      </c>
    </row>
    <row r="32" spans="1:4" ht="18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50286.96</f>
        <v>50286.96</v>
      </c>
      <c r="D33" s="19">
        <f>63863.28</f>
        <v>63863.28</v>
      </c>
    </row>
    <row r="34" spans="1:4">
      <c r="A34" s="24" t="s">
        <v>139</v>
      </c>
      <c r="B34" s="17" t="s">
        <v>140</v>
      </c>
      <c r="C34" s="18">
        <f>43428.84</f>
        <v>43428.84</v>
      </c>
      <c r="D34" s="19">
        <f>44278.05</f>
        <v>44278.05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475</v>
      </c>
      <c r="B39" s="17" t="s">
        <v>150</v>
      </c>
      <c r="C39" s="18">
        <v>287260.7</v>
      </c>
      <c r="D39" s="19">
        <f>262612.24</f>
        <v>262612.24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28646.400000000001</v>
      </c>
      <c r="D45" s="27">
        <f>SUM(D46:D48)</f>
        <v>31641.47</v>
      </c>
    </row>
    <row r="46" spans="1:4">
      <c r="A46" s="21" t="s">
        <v>163</v>
      </c>
      <c r="B46" s="17" t="s">
        <v>164</v>
      </c>
      <c r="C46" s="18">
        <f>27766.08</f>
        <v>27766.080000000002</v>
      </c>
      <c r="D46" s="19">
        <f>30761.15</f>
        <v>30761.15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323887.68</f>
        <v>323887.68</v>
      </c>
      <c r="D49" s="30">
        <f>415024.51</f>
        <v>415024.51</v>
      </c>
    </row>
    <row r="50" spans="1:4">
      <c r="A50" s="8" t="s">
        <v>169</v>
      </c>
      <c r="B50" s="9" t="s">
        <v>170</v>
      </c>
      <c r="C50" s="14">
        <f>C8+C25+C40+C41+C42+C43+C44+C45+C49+C51+C52</f>
        <v>4419776.3999999994</v>
      </c>
      <c r="D50" s="15">
        <f>D8+D25+D40+D41+D42+D43+D44+D45+D49+D51+D52</f>
        <v>4419776.4000000004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2738503.98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2588795.94</f>
        <v>2588795.94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149708.04</f>
        <v>149708.04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1415652</f>
        <v>1415652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4154155.98</v>
      </c>
      <c r="D59" s="27">
        <f>D54+D57+D58</f>
        <v>0</v>
      </c>
    </row>
    <row r="60" spans="1:4" ht="25.5">
      <c r="A60" s="33" t="s">
        <v>188</v>
      </c>
      <c r="B60" s="9"/>
      <c r="C60" s="34">
        <v>16406</v>
      </c>
      <c r="D60" s="35">
        <v>16406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H37" sqref="H37"/>
    </sheetView>
  </sheetViews>
  <sheetFormatPr defaultColWidth="11.7109375" defaultRowHeight="15"/>
  <cols>
    <col min="1" max="1" width="64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388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2567965.33</v>
      </c>
      <c r="D8" s="11">
        <f>D9+D11+D14+D15</f>
        <v>2662148.54</v>
      </c>
    </row>
    <row r="9" spans="1:4" ht="30">
      <c r="A9" s="12" t="s">
        <v>90</v>
      </c>
      <c r="B9" s="13" t="s">
        <v>91</v>
      </c>
      <c r="C9" s="14">
        <f>2188016.02</f>
        <v>2188016.02</v>
      </c>
      <c r="D9" s="15">
        <f>2164076.38</f>
        <v>2164076.38</v>
      </c>
    </row>
    <row r="10" spans="1:4">
      <c r="A10" s="16" t="s">
        <v>92</v>
      </c>
      <c r="B10" s="17" t="s">
        <v>93</v>
      </c>
      <c r="C10" s="18">
        <f>1383970.95238095</f>
        <v>1383970.9523809501</v>
      </c>
      <c r="D10" s="19">
        <f>_108h_E12</f>
        <v>1383970.9523809501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5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379949.30999999994</v>
      </c>
      <c r="D15" s="15">
        <f>SUM(D16:D24)</f>
        <v>498072.16</v>
      </c>
    </row>
    <row r="16" spans="1:4">
      <c r="A16" s="22" t="s">
        <v>103</v>
      </c>
      <c r="B16" s="17" t="s">
        <v>104</v>
      </c>
      <c r="C16" s="111">
        <v>277898.76</v>
      </c>
      <c r="D16" s="113">
        <v>382125.5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54787.61</f>
        <v>54787.61</v>
      </c>
      <c r="D18" s="19">
        <f>68680.67</f>
        <v>68680.67</v>
      </c>
    </row>
    <row r="19" spans="1:4">
      <c r="A19" s="22" t="s">
        <v>109</v>
      </c>
      <c r="B19" s="17" t="s">
        <v>110</v>
      </c>
      <c r="C19" s="18">
        <f>8481.1</f>
        <v>8481.1</v>
      </c>
      <c r="D19" s="19">
        <f>8486.8</f>
        <v>8486.7999999999993</v>
      </c>
    </row>
    <row r="20" spans="1:4">
      <c r="A20" s="22" t="s">
        <v>111</v>
      </c>
      <c r="B20" s="17" t="s">
        <v>112</v>
      </c>
      <c r="C20" s="18">
        <f>5873.6</f>
        <v>5873.6</v>
      </c>
      <c r="D20" s="19">
        <f>5870.95</f>
        <v>5870.95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32908.24</f>
        <v>32908.239999999998</v>
      </c>
      <c r="D22" s="19">
        <f>32908.24</f>
        <v>32908.239999999998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1502118.0499999998</v>
      </c>
      <c r="D25" s="15">
        <f>D26+D27+D30+D28+D29+D31</f>
        <v>1350496.93</v>
      </c>
    </row>
    <row r="26" spans="1:4" ht="18.75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33" customHeight="1">
      <c r="A27" s="24" t="s">
        <v>125</v>
      </c>
      <c r="B27" s="20" t="s">
        <v>126</v>
      </c>
      <c r="C27" s="18">
        <f>37054.56</f>
        <v>37054.559999999998</v>
      </c>
      <c r="D27" s="19">
        <f>37024.1</f>
        <v>37024.1</v>
      </c>
    </row>
    <row r="28" spans="1:4" ht="35.2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47948.88</f>
        <v>47948.88</v>
      </c>
      <c r="D29" s="19">
        <f>47529.7</f>
        <v>47529.7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555283.25</v>
      </c>
      <c r="D31" s="15">
        <f>SUM(D32:D39)</f>
        <v>404111.77</v>
      </c>
    </row>
    <row r="32" spans="1:4" ht="20.2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50286.96</f>
        <v>50286.96</v>
      </c>
      <c r="D33" s="19">
        <f>61426.34</f>
        <v>61426.34</v>
      </c>
    </row>
    <row r="34" spans="1:4">
      <c r="A34" s="24" t="s">
        <v>139</v>
      </c>
      <c r="B34" s="17" t="s">
        <v>140</v>
      </c>
      <c r="C34" s="18">
        <f>43428.84</f>
        <v>43428.84</v>
      </c>
      <c r="D34" s="19">
        <f>44278.05</f>
        <v>44278.05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474</v>
      </c>
      <c r="B39" s="17" t="s">
        <v>150</v>
      </c>
      <c r="C39" s="18">
        <f>286936.04</f>
        <v>286936.03999999998</v>
      </c>
      <c r="D39" s="19">
        <f>123775.97</f>
        <v>123775.97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9.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28666.68</v>
      </c>
      <c r="D45" s="27">
        <f>SUM(D46:D48)</f>
        <v>31663.93</v>
      </c>
    </row>
    <row r="46" spans="1:4">
      <c r="A46" s="21" t="s">
        <v>163</v>
      </c>
      <c r="B46" s="17" t="s">
        <v>164</v>
      </c>
      <c r="C46" s="18">
        <f>27786.36</f>
        <v>27786.36</v>
      </c>
      <c r="D46" s="19">
        <f>30783.61</f>
        <v>30783.61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324124.44</f>
        <v>324124.44</v>
      </c>
      <c r="D49" s="30">
        <f>378565.1</f>
        <v>378565.1</v>
      </c>
    </row>
    <row r="50" spans="1:4">
      <c r="A50" s="8" t="s">
        <v>169</v>
      </c>
      <c r="B50" s="9" t="s">
        <v>170</v>
      </c>
      <c r="C50" s="14">
        <f>C8+C25+C40+C41+C42+C43+C44+C45+C49+C51+C52</f>
        <v>4422874.5</v>
      </c>
      <c r="D50" s="15">
        <f>D8+D25+D40+D41+D42+D43+D44+D45+D49+D51+D52</f>
        <v>4422874.5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2665242.3000000003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2509661.1</f>
        <v>2509661.1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155581.2</f>
        <v>155581.20000000001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1360272</f>
        <v>1360272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4025514.3000000003</v>
      </c>
      <c r="D59" s="27">
        <f>D54+D57+D58</f>
        <v>0</v>
      </c>
    </row>
    <row r="60" spans="1:4" ht="25.5">
      <c r="A60" s="33" t="s">
        <v>188</v>
      </c>
      <c r="B60" s="9"/>
      <c r="C60" s="34">
        <v>16417.5</v>
      </c>
      <c r="D60" s="35">
        <v>16417.5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A47" sqref="A47"/>
    </sheetView>
  </sheetViews>
  <sheetFormatPr defaultColWidth="11.7109375" defaultRowHeight="15"/>
  <cols>
    <col min="1" max="1" width="58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390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3271651.22</v>
      </c>
      <c r="D8" s="11">
        <f>D9+D11+D14+D15</f>
        <v>3132875.2199999997</v>
      </c>
    </row>
    <row r="9" spans="1:4" ht="30">
      <c r="A9" s="12" t="s">
        <v>90</v>
      </c>
      <c r="B9" s="13" t="s">
        <v>91</v>
      </c>
      <c r="C9" s="14">
        <f>2862195.24</f>
        <v>2862195.24</v>
      </c>
      <c r="D9" s="15">
        <f>2826204.63</f>
        <v>2826204.63</v>
      </c>
    </row>
    <row r="10" spans="1:4">
      <c r="A10" s="16" t="s">
        <v>92</v>
      </c>
      <c r="B10" s="17" t="s">
        <v>93</v>
      </c>
      <c r="C10" s="18">
        <f>1877137.88018433</f>
        <v>1877137.88018433</v>
      </c>
      <c r="D10" s="19">
        <f>_109h_E12</f>
        <v>1877137.88018433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409455.98</v>
      </c>
      <c r="D15" s="15">
        <f>SUM(D16:D24)</f>
        <v>306670.58999999997</v>
      </c>
    </row>
    <row r="16" spans="1:4">
      <c r="A16" s="22" t="s">
        <v>103</v>
      </c>
      <c r="B16" s="17" t="s">
        <v>104</v>
      </c>
      <c r="C16" s="111">
        <v>247122.12</v>
      </c>
      <c r="D16" s="113">
        <v>119690.19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97192.68</f>
        <v>97192.68</v>
      </c>
      <c r="D18" s="19">
        <f>121838.54</f>
        <v>121838.54</v>
      </c>
    </row>
    <row r="19" spans="1:4">
      <c r="A19" s="22" t="s">
        <v>109</v>
      </c>
      <c r="B19" s="17" t="s">
        <v>110</v>
      </c>
      <c r="C19" s="18">
        <f>8062.72</f>
        <v>8062.72</v>
      </c>
      <c r="D19" s="19">
        <f>8068.14</f>
        <v>8068.14</v>
      </c>
    </row>
    <row r="20" spans="1:4">
      <c r="A20" s="22" t="s">
        <v>111</v>
      </c>
      <c r="B20" s="17" t="s">
        <v>112</v>
      </c>
      <c r="C20" s="18">
        <f>10801.24</f>
        <v>10801.24</v>
      </c>
      <c r="D20" s="19">
        <f>10796.5</f>
        <v>10796.5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46277.22</f>
        <v>46277.22</v>
      </c>
      <c r="D22" s="19">
        <f>46277.22</f>
        <v>46277.22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1131941.4300000002</v>
      </c>
      <c r="D25" s="15">
        <f>D26+D27+D30+D28+D29+D31</f>
        <v>1136695.47</v>
      </c>
    </row>
    <row r="26" spans="1:4" ht="21.75" customHeight="1">
      <c r="A26" s="24" t="s">
        <v>123</v>
      </c>
      <c r="B26" s="20" t="s">
        <v>124</v>
      </c>
      <c r="C26" s="18">
        <f>436269.6</f>
        <v>436269.6</v>
      </c>
      <c r="D26" s="19">
        <f>436269.61</f>
        <v>436269.61</v>
      </c>
    </row>
    <row r="27" spans="1:4" ht="45">
      <c r="A27" s="24" t="s">
        <v>125</v>
      </c>
      <c r="B27" s="20" t="s">
        <v>126</v>
      </c>
      <c r="C27" s="18">
        <f>51384.24</f>
        <v>51384.24</v>
      </c>
      <c r="D27" s="19">
        <f>51323.24</f>
        <v>51323.24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51932.4</f>
        <v>51932.4</v>
      </c>
      <c r="D29" s="19">
        <f>51478.41</f>
        <v>51478.41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592355.19000000006</v>
      </c>
      <c r="D31" s="15">
        <f>SUM(D32:D39)</f>
        <v>597624.21</v>
      </c>
    </row>
    <row r="32" spans="1:4" ht="20.25" customHeight="1">
      <c r="A32" s="24" t="s">
        <v>135</v>
      </c>
      <c r="B32" s="17" t="s">
        <v>136</v>
      </c>
      <c r="C32" s="18">
        <f>76578.53</f>
        <v>76578.53</v>
      </c>
      <c r="D32" s="19">
        <f>76578.56</f>
        <v>76578.559999999998</v>
      </c>
    </row>
    <row r="33" spans="1:4">
      <c r="A33" s="24" t="s">
        <v>137</v>
      </c>
      <c r="B33" s="17" t="s">
        <v>138</v>
      </c>
      <c r="C33" s="18">
        <f>69733.8</f>
        <v>69733.8</v>
      </c>
      <c r="D33" s="19">
        <f>59010.64</f>
        <v>59010.64</v>
      </c>
    </row>
    <row r="34" spans="1:4">
      <c r="A34" s="24" t="s">
        <v>139</v>
      </c>
      <c r="B34" s="17" t="s">
        <v>140</v>
      </c>
      <c r="C34" s="18">
        <f>51017.28</f>
        <v>51017.279999999999</v>
      </c>
      <c r="D34" s="19">
        <f>56371.56</f>
        <v>56371.56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v>395025.58</v>
      </c>
      <c r="D39" s="19">
        <v>405663.45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35825.949999999997</v>
      </c>
      <c r="D45" s="27">
        <f>SUM(D46:D48)</f>
        <v>71067.460000000006</v>
      </c>
    </row>
    <row r="46" spans="1:4">
      <c r="A46" s="21" t="s">
        <v>163</v>
      </c>
      <c r="B46" s="17" t="s">
        <v>164</v>
      </c>
      <c r="C46" s="18">
        <f>30094.92</f>
        <v>30094.92</v>
      </c>
      <c r="D46" s="19">
        <f>33341.21</f>
        <v>33341.21</v>
      </c>
    </row>
    <row r="47" spans="1:4">
      <c r="A47" s="88" t="s">
        <v>496</v>
      </c>
      <c r="B47" s="17" t="s">
        <v>165</v>
      </c>
      <c r="C47" s="18">
        <f>0</f>
        <v>0</v>
      </c>
      <c r="D47" s="19">
        <v>31995.22</v>
      </c>
    </row>
    <row r="48" spans="1:4">
      <c r="A48" s="21" t="s">
        <v>166</v>
      </c>
      <c r="B48" s="17" t="s">
        <v>167</v>
      </c>
      <c r="C48" s="18">
        <f>5731.03</f>
        <v>5731.03</v>
      </c>
      <c r="D48" s="19">
        <f>5731.03</f>
        <v>5731.03</v>
      </c>
    </row>
    <row r="49" spans="1:4">
      <c r="A49" s="8" t="s">
        <v>440</v>
      </c>
      <c r="B49" s="28" t="s">
        <v>168</v>
      </c>
      <c r="C49" s="29">
        <f>351052.2</f>
        <v>351052.2</v>
      </c>
      <c r="D49" s="30">
        <f>449832.65</f>
        <v>449832.65</v>
      </c>
    </row>
    <row r="50" spans="1:4">
      <c r="A50" s="8" t="s">
        <v>169</v>
      </c>
      <c r="B50" s="9" t="s">
        <v>170</v>
      </c>
      <c r="C50" s="14">
        <f>C8+C25+C40+C41+C42+C43+C44+C45+C49+C51+C52</f>
        <v>4790470.8000000007</v>
      </c>
      <c r="D50" s="15">
        <f>D8+D25+D40+D41+D42+D43+D44+D45+D49+D51+D52</f>
        <v>4790470.8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2835492.66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2821334.1</f>
        <v>2821334.1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14158.56</f>
        <v>14158.56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1570932</f>
        <v>1570932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4406424.66</v>
      </c>
      <c r="D59" s="27">
        <f>D54+D57+D58</f>
        <v>0</v>
      </c>
    </row>
    <row r="60" spans="1:4" ht="25.5">
      <c r="A60" s="33" t="s">
        <v>188</v>
      </c>
      <c r="B60" s="9"/>
      <c r="C60" s="34">
        <v>17782</v>
      </c>
      <c r="D60" s="35">
        <v>17782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47" sqref="E47"/>
    </sheetView>
  </sheetViews>
  <sheetFormatPr defaultColWidth="11.7109375" defaultRowHeight="15"/>
  <cols>
    <col min="1" max="1" width="60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0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208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1787517.33</v>
      </c>
      <c r="D8" s="11">
        <f>D9+D11+D14+D15</f>
        <v>1772914.75</v>
      </c>
    </row>
    <row r="9" spans="1:4" ht="30">
      <c r="A9" s="12" t="s">
        <v>90</v>
      </c>
      <c r="B9" s="13" t="s">
        <v>91</v>
      </c>
      <c r="C9" s="14">
        <f>1493728.27</f>
        <v>1493728.27</v>
      </c>
      <c r="D9" s="15">
        <v>1470086.49</v>
      </c>
    </row>
    <row r="10" spans="1:4">
      <c r="A10" s="16" t="s">
        <v>92</v>
      </c>
      <c r="B10" s="17" t="s">
        <v>93</v>
      </c>
      <c r="C10" s="18">
        <f>886685.491551459</f>
        <v>886685.49155145895</v>
      </c>
      <c r="D10" s="19">
        <f>_11h_E12</f>
        <v>886685.49155145895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293789.06</v>
      </c>
      <c r="D15" s="15">
        <f>SUM(D16:D24)</f>
        <v>302828.26</v>
      </c>
    </row>
    <row r="16" spans="1:4">
      <c r="A16" s="22" t="s">
        <v>103</v>
      </c>
      <c r="B16" s="17" t="s">
        <v>104</v>
      </c>
      <c r="C16" s="111">
        <v>221767.44</v>
      </c>
      <c r="D16" s="113">
        <v>221887.05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35166.24</f>
        <v>35166.239999999998</v>
      </c>
      <c r="D18" s="19">
        <f>44083.55</f>
        <v>44083.55</v>
      </c>
    </row>
    <row r="19" spans="1:4">
      <c r="A19" s="22" t="s">
        <v>109</v>
      </c>
      <c r="B19" s="17" t="s">
        <v>110</v>
      </c>
      <c r="C19" s="18">
        <f>6270.86</f>
        <v>6270.86</v>
      </c>
      <c r="D19" s="19">
        <f>6275.06</f>
        <v>6275.06</v>
      </c>
    </row>
    <row r="20" spans="1:4">
      <c r="A20" s="22" t="s">
        <v>111</v>
      </c>
      <c r="B20" s="17" t="s">
        <v>112</v>
      </c>
      <c r="C20" s="18">
        <f>4360.76</f>
        <v>4360.76</v>
      </c>
      <c r="D20" s="19">
        <f>4358.84</f>
        <v>4358.84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26223.76</f>
        <v>26223.759999999998</v>
      </c>
      <c r="D22" s="19">
        <f>26223.76</f>
        <v>26223.759999999998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1089725.08</v>
      </c>
      <c r="D25" s="15">
        <f>D26+D27+D30+D28+D29+D31</f>
        <v>1075581.3599999999</v>
      </c>
    </row>
    <row r="26" spans="1:4" ht="21" customHeight="1">
      <c r="A26" s="24" t="s">
        <v>123</v>
      </c>
      <c r="B26" s="20" t="s">
        <v>124</v>
      </c>
      <c r="C26" s="18">
        <f>598566.36</f>
        <v>598566.36</v>
      </c>
      <c r="D26" s="19">
        <f>579445.46</f>
        <v>579445.46</v>
      </c>
    </row>
    <row r="27" spans="1:4" ht="36.75" customHeight="1">
      <c r="A27" s="24" t="s">
        <v>125</v>
      </c>
      <c r="B27" s="20" t="s">
        <v>126</v>
      </c>
      <c r="C27" s="18">
        <f>27646.08</f>
        <v>27646.080000000002</v>
      </c>
      <c r="D27" s="19">
        <f>27752.92</f>
        <v>27752.92</v>
      </c>
    </row>
    <row r="28" spans="1:4" ht="33" customHeight="1">
      <c r="A28" s="21" t="s">
        <v>127</v>
      </c>
      <c r="B28" s="20" t="s">
        <v>128</v>
      </c>
      <c r="C28" s="18">
        <f>237830.4</f>
        <v>237830.39999999999</v>
      </c>
      <c r="D28" s="19">
        <f>237830.28</f>
        <v>237830.28</v>
      </c>
    </row>
    <row r="29" spans="1:4">
      <c r="A29" s="21" t="s">
        <v>129</v>
      </c>
      <c r="B29" s="20" t="s">
        <v>130</v>
      </c>
      <c r="C29" s="18">
        <f>36141.12</f>
        <v>36141.120000000003</v>
      </c>
      <c r="D29" s="19">
        <f>35825.08</f>
        <v>35825.08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189541.12</v>
      </c>
      <c r="D31" s="15">
        <f>SUM(D32:D39)</f>
        <v>194727.62</v>
      </c>
    </row>
    <row r="32" spans="1:4" ht="19.5" customHeight="1">
      <c r="A32" s="24" t="s">
        <v>135</v>
      </c>
      <c r="B32" s="17" t="s">
        <v>136</v>
      </c>
      <c r="C32" s="18">
        <f>22973.56</f>
        <v>22973.56</v>
      </c>
      <c r="D32" s="19">
        <f>22973.54</f>
        <v>22973.54</v>
      </c>
    </row>
    <row r="33" spans="1:4">
      <c r="A33" s="24" t="s">
        <v>137</v>
      </c>
      <c r="B33" s="17" t="s">
        <v>138</v>
      </c>
      <c r="C33" s="18">
        <f>37518.72</f>
        <v>37518.720000000001</v>
      </c>
      <c r="D33" s="19">
        <f>43780.81</f>
        <v>43780.81</v>
      </c>
    </row>
    <row r="34" spans="1:4">
      <c r="A34" s="24" t="s">
        <v>139</v>
      </c>
      <c r="B34" s="17" t="s">
        <v>140</v>
      </c>
      <c r="C34" s="18">
        <f>68193.96</f>
        <v>68193.960000000006</v>
      </c>
      <c r="D34" s="19">
        <f>67118.39</f>
        <v>67118.39</v>
      </c>
    </row>
    <row r="35" spans="1:4">
      <c r="A35" s="24" t="s">
        <v>141</v>
      </c>
      <c r="B35" s="17" t="s">
        <v>142</v>
      </c>
      <c r="C35" s="18">
        <f>51480</f>
        <v>51480</v>
      </c>
      <c r="D35" s="19">
        <f>51480</f>
        <v>51480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2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9374.8799999999992</v>
      </c>
      <c r="D39" s="19">
        <v>9374.8799999999992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212276.15000000002</v>
      </c>
      <c r="D45" s="27">
        <f>SUM(D46:D48)</f>
        <v>172278.96</v>
      </c>
    </row>
    <row r="46" spans="1:4">
      <c r="A46" s="21" t="s">
        <v>163</v>
      </c>
      <c r="B46" s="17" t="s">
        <v>164</v>
      </c>
      <c r="C46" s="18">
        <f>20943.72</f>
        <v>20943.72</v>
      </c>
      <c r="D46" s="19">
        <f>23202.8</f>
        <v>23202.799999999999</v>
      </c>
    </row>
    <row r="47" spans="1:4">
      <c r="A47" s="21" t="s">
        <v>149</v>
      </c>
      <c r="B47" s="17" t="s">
        <v>165</v>
      </c>
      <c r="C47" s="18">
        <v>183680.2</v>
      </c>
      <c r="D47" s="19">
        <v>141423.93</v>
      </c>
    </row>
    <row r="48" spans="1:4">
      <c r="A48" s="21" t="s">
        <v>166</v>
      </c>
      <c r="B48" s="17" t="s">
        <v>167</v>
      </c>
      <c r="C48" s="18">
        <v>7652.23</v>
      </c>
      <c r="D48" s="19">
        <v>7652.23</v>
      </c>
    </row>
    <row r="49" spans="1:4">
      <c r="A49" s="8" t="s">
        <v>440</v>
      </c>
      <c r="B49" s="28" t="s">
        <v>168</v>
      </c>
      <c r="C49" s="29">
        <f>244306.44</f>
        <v>244306.44</v>
      </c>
      <c r="D49" s="30">
        <f>313049.93</f>
        <v>313049.93</v>
      </c>
    </row>
    <row r="50" spans="1:4">
      <c r="A50" s="8" t="s">
        <v>169</v>
      </c>
      <c r="B50" s="9" t="s">
        <v>170</v>
      </c>
      <c r="C50" s="14">
        <f>C8+C25+C40+C41+C42+C43+C44+C45+C49+C51+C52</f>
        <v>3333825</v>
      </c>
      <c r="D50" s="15">
        <f>D8+D25+D40+D41+D42+D43+D44+D45+D49+D51+D52</f>
        <v>3333825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1734902.4600000002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1527937.86</f>
        <v>1527937.86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206964.6</f>
        <v>206964.6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746256</f>
        <v>746256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2481158.46</v>
      </c>
      <c r="D59" s="27">
        <f>D54+D57+D58</f>
        <v>0</v>
      </c>
    </row>
    <row r="60" spans="1:4" ht="25.5">
      <c r="A60" s="33" t="s">
        <v>188</v>
      </c>
      <c r="B60" s="9"/>
      <c r="C60" s="34">
        <v>12375</v>
      </c>
      <c r="D60" s="35">
        <v>12375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H261"/>
  <sheetViews>
    <sheetView topLeftCell="A37" workbookViewId="0">
      <selection activeCell="F10" sqref="F10"/>
    </sheetView>
  </sheetViews>
  <sheetFormatPr defaultColWidth="11.7109375" defaultRowHeight="15"/>
  <cols>
    <col min="1" max="1" width="60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392</v>
      </c>
      <c r="D5" s="120"/>
    </row>
    <row r="6" spans="1:4">
      <c r="A6" s="116"/>
      <c r="B6" s="118"/>
      <c r="C6" s="107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82">
        <v>905344.14</v>
      </c>
      <c r="D8" s="99">
        <f>D9+D11+D14+D15</f>
        <v>863200.36</v>
      </c>
    </row>
    <row r="9" spans="1:4" ht="30">
      <c r="A9" s="12" t="s">
        <v>90</v>
      </c>
      <c r="B9" s="13" t="s">
        <v>91</v>
      </c>
      <c r="C9" s="83">
        <v>791891.39</v>
      </c>
      <c r="D9" s="100">
        <v>791891.39</v>
      </c>
    </row>
    <row r="10" spans="1:4">
      <c r="A10" s="16" t="s">
        <v>92</v>
      </c>
      <c r="B10" s="17" t="s">
        <v>93</v>
      </c>
      <c r="C10" s="84">
        <v>511116.950844854</v>
      </c>
      <c r="D10" s="101">
        <f>_110h_E12</f>
        <v>511116.950844854</v>
      </c>
    </row>
    <row r="11" spans="1:4" ht="19.5" customHeight="1">
      <c r="A11" s="12" t="s">
        <v>94</v>
      </c>
      <c r="B11" s="20" t="s">
        <v>95</v>
      </c>
      <c r="C11" s="83">
        <v>0</v>
      </c>
      <c r="D11" s="100">
        <f>D12+D13</f>
        <v>0</v>
      </c>
    </row>
    <row r="12" spans="1:4">
      <c r="A12" s="88" t="s">
        <v>96</v>
      </c>
      <c r="B12" s="17" t="s">
        <v>97</v>
      </c>
      <c r="C12" s="84">
        <v>0</v>
      </c>
      <c r="D12" s="101">
        <f>0</f>
        <v>0</v>
      </c>
    </row>
    <row r="13" spans="1:4" ht="22.5" customHeight="1">
      <c r="A13" s="88" t="s">
        <v>462</v>
      </c>
      <c r="B13" s="17" t="s">
        <v>98</v>
      </c>
      <c r="C13" s="84">
        <v>0</v>
      </c>
      <c r="D13" s="101">
        <f>0</f>
        <v>0</v>
      </c>
    </row>
    <row r="14" spans="1:4" ht="21" customHeight="1">
      <c r="A14" s="12" t="s">
        <v>99</v>
      </c>
      <c r="B14" s="20" t="s">
        <v>100</v>
      </c>
      <c r="C14" s="84">
        <v>0</v>
      </c>
      <c r="D14" s="101">
        <f>0</f>
        <v>0</v>
      </c>
    </row>
    <row r="15" spans="1:4" ht="28.5">
      <c r="A15" s="8" t="s">
        <v>101</v>
      </c>
      <c r="B15" s="20" t="s">
        <v>102</v>
      </c>
      <c r="C15" s="83">
        <v>113452.75</v>
      </c>
      <c r="D15" s="100">
        <f>SUM(D16:D24)</f>
        <v>71308.97</v>
      </c>
    </row>
    <row r="16" spans="1:4">
      <c r="A16" s="22" t="s">
        <v>103</v>
      </c>
      <c r="B16" s="17" t="s">
        <v>104</v>
      </c>
      <c r="C16" s="111">
        <v>75893.279999999999</v>
      </c>
      <c r="D16" s="113">
        <v>52225.120000000003</v>
      </c>
    </row>
    <row r="17" spans="1:8">
      <c r="A17" s="22" t="s">
        <v>105</v>
      </c>
      <c r="B17" s="17" t="s">
        <v>106</v>
      </c>
      <c r="C17" s="112"/>
      <c r="D17" s="114"/>
    </row>
    <row r="18" spans="1:8">
      <c r="A18" s="22" t="s">
        <v>107</v>
      </c>
      <c r="B18" s="17" t="s">
        <v>108</v>
      </c>
      <c r="C18" s="84">
        <v>18475.8</v>
      </c>
      <c r="D18" s="101">
        <v>0</v>
      </c>
      <c r="H18" s="101">
        <f>23160.77</f>
        <v>23160.77</v>
      </c>
    </row>
    <row r="19" spans="1:8">
      <c r="A19" s="22" t="s">
        <v>109</v>
      </c>
      <c r="B19" s="17" t="s">
        <v>110</v>
      </c>
      <c r="C19" s="84">
        <v>2236.44</v>
      </c>
      <c r="D19" s="101">
        <f>2237.94</f>
        <v>2237.94</v>
      </c>
    </row>
    <row r="20" spans="1:8">
      <c r="A20" s="22" t="s">
        <v>111</v>
      </c>
      <c r="B20" s="17" t="s">
        <v>112</v>
      </c>
      <c r="C20" s="84">
        <v>2964.06</v>
      </c>
      <c r="D20" s="101">
        <f>2962.74</f>
        <v>2962.74</v>
      </c>
    </row>
    <row r="21" spans="1:8">
      <c r="A21" s="22" t="s">
        <v>113</v>
      </c>
      <c r="B21" s="17" t="s">
        <v>114</v>
      </c>
      <c r="C21" s="84">
        <v>0</v>
      </c>
      <c r="D21" s="101">
        <f>0</f>
        <v>0</v>
      </c>
    </row>
    <row r="22" spans="1:8">
      <c r="A22" s="22" t="s">
        <v>115</v>
      </c>
      <c r="B22" s="17" t="s">
        <v>116</v>
      </c>
      <c r="C22" s="84">
        <v>13883.17</v>
      </c>
      <c r="D22" s="101">
        <f>13883.17</f>
        <v>13883.17</v>
      </c>
    </row>
    <row r="23" spans="1:8">
      <c r="A23" s="22" t="s">
        <v>117</v>
      </c>
      <c r="B23" s="17" t="s">
        <v>118</v>
      </c>
      <c r="C23" s="84">
        <v>0</v>
      </c>
      <c r="D23" s="101">
        <f>0</f>
        <v>0</v>
      </c>
    </row>
    <row r="24" spans="1:8" ht="21.75" customHeight="1">
      <c r="A24" s="23" t="s">
        <v>119</v>
      </c>
      <c r="B24" s="17" t="s">
        <v>120</v>
      </c>
      <c r="C24" s="84">
        <v>0</v>
      </c>
      <c r="D24" s="101">
        <f>0</f>
        <v>0</v>
      </c>
    </row>
    <row r="25" spans="1:8">
      <c r="A25" s="8" t="s">
        <v>121</v>
      </c>
      <c r="B25" s="9" t="s">
        <v>122</v>
      </c>
      <c r="C25" s="83">
        <v>412857.32999999099</v>
      </c>
      <c r="D25" s="100">
        <f>D26+D27+D30+D28+D29+D31</f>
        <v>189449.94999999998</v>
      </c>
    </row>
    <row r="26" spans="1:8" ht="21" customHeight="1">
      <c r="A26" s="24" t="s">
        <v>123</v>
      </c>
      <c r="B26" s="20" t="s">
        <v>124</v>
      </c>
      <c r="C26" s="84">
        <v>100677.48</v>
      </c>
      <c r="D26" s="101">
        <f>100677.48</f>
        <v>100677.48</v>
      </c>
    </row>
    <row r="27" spans="1:8" ht="36" customHeight="1">
      <c r="A27" s="24" t="s">
        <v>125</v>
      </c>
      <c r="B27" s="20" t="s">
        <v>126</v>
      </c>
      <c r="C27" s="84">
        <v>15632.16</v>
      </c>
      <c r="D27" s="101">
        <f>15670.4</f>
        <v>15670.4</v>
      </c>
    </row>
    <row r="28" spans="1:8" ht="33" customHeight="1">
      <c r="A28" s="88" t="s">
        <v>127</v>
      </c>
      <c r="B28" s="20" t="s">
        <v>128</v>
      </c>
      <c r="C28" s="84">
        <v>0</v>
      </c>
      <c r="D28" s="101">
        <f>0</f>
        <v>0</v>
      </c>
    </row>
    <row r="29" spans="1:8">
      <c r="A29" s="88" t="s">
        <v>129</v>
      </c>
      <c r="B29" s="20" t="s">
        <v>130</v>
      </c>
      <c r="C29" s="84">
        <v>15699.96</v>
      </c>
      <c r="D29" s="101">
        <f>15562.66</f>
        <v>15562.66</v>
      </c>
    </row>
    <row r="30" spans="1:8">
      <c r="A30" s="88" t="s">
        <v>131</v>
      </c>
      <c r="B30" s="20" t="s">
        <v>132</v>
      </c>
      <c r="C30" s="84">
        <v>0</v>
      </c>
      <c r="D30" s="101">
        <f>0</f>
        <v>0</v>
      </c>
    </row>
    <row r="31" spans="1:8">
      <c r="A31" s="25" t="s">
        <v>133</v>
      </c>
      <c r="B31" s="20" t="s">
        <v>134</v>
      </c>
      <c r="C31" s="83">
        <v>280847.72999999102</v>
      </c>
      <c r="D31" s="100">
        <f>SUM(D32:D39)</f>
        <v>57539.409999999996</v>
      </c>
    </row>
    <row r="32" spans="1:8" ht="18.75" customHeight="1">
      <c r="A32" s="24" t="s">
        <v>135</v>
      </c>
      <c r="B32" s="17" t="s">
        <v>136</v>
      </c>
      <c r="C32" s="84">
        <v>22973.56</v>
      </c>
      <c r="D32" s="101">
        <f>22973.53</f>
        <v>22973.53</v>
      </c>
    </row>
    <row r="33" spans="1:4">
      <c r="A33" s="24" t="s">
        <v>137</v>
      </c>
      <c r="B33" s="17" t="s">
        <v>138</v>
      </c>
      <c r="C33" s="84">
        <v>21214.799999999999</v>
      </c>
      <c r="D33" s="101">
        <f>15290.84</f>
        <v>15290.84</v>
      </c>
    </row>
    <row r="34" spans="1:4">
      <c r="A34" s="24" t="s">
        <v>139</v>
      </c>
      <c r="B34" s="17" t="s">
        <v>140</v>
      </c>
      <c r="C34" s="84">
        <v>19073.759999999998</v>
      </c>
      <c r="D34" s="101">
        <f>19275.04</f>
        <v>19275.04</v>
      </c>
    </row>
    <row r="35" spans="1:4">
      <c r="A35" s="24" t="s">
        <v>141</v>
      </c>
      <c r="B35" s="17" t="s">
        <v>142</v>
      </c>
      <c r="C35" s="84">
        <v>0</v>
      </c>
      <c r="D35" s="101">
        <f>0</f>
        <v>0</v>
      </c>
    </row>
    <row r="36" spans="1:4">
      <c r="A36" s="24" t="s">
        <v>143</v>
      </c>
      <c r="B36" s="17" t="s">
        <v>144</v>
      </c>
      <c r="C36" s="84">
        <v>0</v>
      </c>
      <c r="D36" s="101">
        <f>0</f>
        <v>0</v>
      </c>
    </row>
    <row r="37" spans="1:4">
      <c r="A37" s="24" t="s">
        <v>145</v>
      </c>
      <c r="B37" s="17" t="s">
        <v>146</v>
      </c>
      <c r="C37" s="84">
        <v>0</v>
      </c>
      <c r="D37" s="101">
        <f>0</f>
        <v>0</v>
      </c>
    </row>
    <row r="38" spans="1:4">
      <c r="A38" s="24" t="s">
        <v>147</v>
      </c>
      <c r="B38" s="17" t="s">
        <v>148</v>
      </c>
      <c r="C38" s="84">
        <v>0</v>
      </c>
      <c r="D38" s="101">
        <f>0</f>
        <v>0</v>
      </c>
    </row>
    <row r="39" spans="1:4">
      <c r="A39" s="24" t="s">
        <v>149</v>
      </c>
      <c r="B39" s="17" t="s">
        <v>150</v>
      </c>
      <c r="C39" s="84">
        <v>217585.60999999099</v>
      </c>
      <c r="D39" s="101">
        <f>0</f>
        <v>0</v>
      </c>
    </row>
    <row r="40" spans="1:4" ht="22.5" customHeight="1">
      <c r="A40" s="8" t="s">
        <v>151</v>
      </c>
      <c r="B40" s="9" t="s">
        <v>152</v>
      </c>
      <c r="C40" s="85">
        <v>0</v>
      </c>
      <c r="D40" s="102">
        <f>0</f>
        <v>0</v>
      </c>
    </row>
    <row r="41" spans="1:4" ht="28.5">
      <c r="A41" s="8" t="s">
        <v>153</v>
      </c>
      <c r="B41" s="9" t="s">
        <v>154</v>
      </c>
      <c r="C41" s="85">
        <v>0</v>
      </c>
      <c r="D41" s="102">
        <f>0</f>
        <v>0</v>
      </c>
    </row>
    <row r="42" spans="1:4">
      <c r="A42" s="8" t="s">
        <v>155</v>
      </c>
      <c r="B42" s="9" t="s">
        <v>156</v>
      </c>
      <c r="C42" s="85">
        <v>0</v>
      </c>
      <c r="D42" s="102">
        <f>0</f>
        <v>0</v>
      </c>
    </row>
    <row r="43" spans="1:4" ht="21" customHeight="1">
      <c r="A43" s="8" t="s">
        <v>157</v>
      </c>
      <c r="B43" s="9" t="s">
        <v>158</v>
      </c>
      <c r="C43" s="85">
        <v>0</v>
      </c>
      <c r="D43" s="102">
        <f>0</f>
        <v>0</v>
      </c>
    </row>
    <row r="44" spans="1:4">
      <c r="A44" s="8" t="s">
        <v>159</v>
      </c>
      <c r="B44" s="9" t="s">
        <v>160</v>
      </c>
      <c r="C44" s="85">
        <v>0</v>
      </c>
      <c r="D44" s="102">
        <f>0</f>
        <v>0</v>
      </c>
    </row>
    <row r="45" spans="1:4">
      <c r="A45" s="8" t="s">
        <v>161</v>
      </c>
      <c r="B45" s="9" t="s">
        <v>162</v>
      </c>
      <c r="C45" s="85">
        <v>23910.69</v>
      </c>
      <c r="D45" s="102">
        <f>SUM(D46:D48)</f>
        <v>277547.52999999997</v>
      </c>
    </row>
    <row r="46" spans="1:4">
      <c r="A46" s="88" t="s">
        <v>163</v>
      </c>
      <c r="B46" s="17" t="s">
        <v>164</v>
      </c>
      <c r="C46" s="84">
        <v>9098.16</v>
      </c>
      <c r="D46" s="101">
        <f>10079.5</f>
        <v>10079.5</v>
      </c>
    </row>
    <row r="47" spans="1:4">
      <c r="A47" s="88" t="s">
        <v>149</v>
      </c>
      <c r="B47" s="17" t="s">
        <v>165</v>
      </c>
      <c r="C47" s="84">
        <v>14482.41</v>
      </c>
      <c r="D47" s="101">
        <v>267137.90999999997</v>
      </c>
    </row>
    <row r="48" spans="1:4">
      <c r="A48" s="88" t="s">
        <v>166</v>
      </c>
      <c r="B48" s="17" t="s">
        <v>167</v>
      </c>
      <c r="C48" s="84">
        <v>330.12</v>
      </c>
      <c r="D48" s="101">
        <f>330.12</f>
        <v>330.12</v>
      </c>
    </row>
    <row r="49" spans="1:4">
      <c r="A49" s="8" t="s">
        <v>440</v>
      </c>
      <c r="B49" s="28" t="s">
        <v>168</v>
      </c>
      <c r="C49" s="86">
        <v>106128.36</v>
      </c>
      <c r="D49" s="103">
        <v>118042.68</v>
      </c>
    </row>
    <row r="50" spans="1:4">
      <c r="A50" s="8" t="s">
        <v>169</v>
      </c>
      <c r="B50" s="9" t="s">
        <v>170</v>
      </c>
      <c r="C50" s="83">
        <f>C8+C25+C40+C41+C42+C43+C44+C45+C49+C51+C52</f>
        <v>1448240.5199999909</v>
      </c>
      <c r="D50" s="100">
        <f>D8+D25+D40+D41+D42+D43+D44+D45+D49+D51+D52</f>
        <v>1448240.52</v>
      </c>
    </row>
    <row r="51" spans="1:4">
      <c r="A51" s="8" t="s">
        <v>171</v>
      </c>
      <c r="B51" s="9" t="s">
        <v>172</v>
      </c>
      <c r="C51" s="85"/>
      <c r="D51" s="102"/>
    </row>
    <row r="52" spans="1:4">
      <c r="A52" s="8" t="s">
        <v>173</v>
      </c>
      <c r="B52" s="9" t="s">
        <v>174</v>
      </c>
      <c r="C52" s="85"/>
      <c r="D52" s="102"/>
    </row>
    <row r="53" spans="1:4" ht="28.5" hidden="1">
      <c r="A53" s="106" t="s">
        <v>175</v>
      </c>
      <c r="B53" s="20"/>
      <c r="C53" s="84"/>
      <c r="D53" s="101"/>
    </row>
    <row r="54" spans="1:4" ht="28.5" hidden="1">
      <c r="A54" s="106" t="s">
        <v>176</v>
      </c>
      <c r="B54" s="9" t="s">
        <v>177</v>
      </c>
      <c r="C54" s="85">
        <f>SUM(C55:C56)</f>
        <v>814079.7</v>
      </c>
      <c r="D54" s="102">
        <f>SUM(D55:D56)</f>
        <v>0</v>
      </c>
    </row>
    <row r="55" spans="1:4" hidden="1">
      <c r="A55" s="88" t="s">
        <v>178</v>
      </c>
      <c r="B55" s="17" t="s">
        <v>179</v>
      </c>
      <c r="C55" s="84">
        <f>814079.7</f>
        <v>814079.7</v>
      </c>
      <c r="D55" s="101">
        <f>0</f>
        <v>0</v>
      </c>
    </row>
    <row r="56" spans="1:4" hidden="1">
      <c r="A56" s="88" t="s">
        <v>180</v>
      </c>
      <c r="B56" s="17" t="s">
        <v>181</v>
      </c>
      <c r="C56" s="84">
        <f>0</f>
        <v>0</v>
      </c>
      <c r="D56" s="101">
        <f>0</f>
        <v>0</v>
      </c>
    </row>
    <row r="57" spans="1:4" ht="28.5" hidden="1">
      <c r="A57" s="106" t="s">
        <v>182</v>
      </c>
      <c r="B57" s="9" t="s">
        <v>183</v>
      </c>
      <c r="C57" s="85"/>
      <c r="D57" s="102"/>
    </row>
    <row r="58" spans="1:4" hidden="1">
      <c r="A58" s="31" t="s">
        <v>184</v>
      </c>
      <c r="B58" s="28" t="s">
        <v>185</v>
      </c>
      <c r="C58" s="86">
        <f>452868</f>
        <v>452868</v>
      </c>
      <c r="D58" s="103">
        <f>0</f>
        <v>0</v>
      </c>
    </row>
    <row r="59" spans="1:4" hidden="1">
      <c r="A59" s="106" t="s">
        <v>186</v>
      </c>
      <c r="B59" s="9"/>
      <c r="C59" s="85">
        <f>C54+C57+C58</f>
        <v>1266947.7</v>
      </c>
      <c r="D59" s="102">
        <f>D54+D57+D58</f>
        <v>0</v>
      </c>
    </row>
    <row r="60" spans="1:4" ht="25.5">
      <c r="A60" s="33" t="s">
        <v>188</v>
      </c>
      <c r="B60" s="9"/>
      <c r="C60" s="34">
        <v>5375.8</v>
      </c>
      <c r="D60" s="35">
        <v>5375.8</v>
      </c>
    </row>
    <row r="61" spans="1:4" ht="15.75" thickBot="1">
      <c r="A61" s="36" t="s">
        <v>189</v>
      </c>
      <c r="B61" s="37"/>
      <c r="C61" s="38">
        <f>(C50+C51+C52)/C60/12</f>
        <v>22.449999999999861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D16:D17"/>
    <mergeCell ref="C16:C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7" sqref="D47"/>
    </sheetView>
  </sheetViews>
  <sheetFormatPr defaultColWidth="11.7109375" defaultRowHeight="15"/>
  <cols>
    <col min="1" max="1" width="57.8554687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9.5703125" customWidth="1"/>
    <col min="8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460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1948050.25</v>
      </c>
      <c r="D8" s="11">
        <f>D9+D11+D14+D15</f>
        <v>1954315.6</v>
      </c>
    </row>
    <row r="9" spans="1:4" ht="30">
      <c r="A9" s="12" t="s">
        <v>90</v>
      </c>
      <c r="B9" s="13" t="s">
        <v>91</v>
      </c>
      <c r="C9" s="14">
        <f>1705925.41</f>
        <v>1705925.41</v>
      </c>
      <c r="D9" s="15">
        <f>1680110.6</f>
        <v>1680110.6</v>
      </c>
    </row>
    <row r="10" spans="1:4">
      <c r="A10" s="16" t="s">
        <v>92</v>
      </c>
      <c r="B10" s="17" t="s">
        <v>93</v>
      </c>
      <c r="C10" s="18">
        <f>1112936.87403994</f>
        <v>1112936.8740399401</v>
      </c>
      <c r="D10" s="19">
        <f>_111h_E12</f>
        <v>1112936.8740399401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6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242124.84000000003</v>
      </c>
      <c r="D15" s="15">
        <f>SUM(D16:D24)</f>
        <v>274205</v>
      </c>
    </row>
    <row r="16" spans="1:4">
      <c r="A16" s="22" t="s">
        <v>103</v>
      </c>
      <c r="B16" s="17" t="s">
        <v>104</v>
      </c>
      <c r="C16" s="111">
        <v>151786.68</v>
      </c>
      <c r="D16" s="113">
        <v>108259.5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52167.33</f>
        <v>52167.33</v>
      </c>
      <c r="D18" s="19">
        <v>127774.27</v>
      </c>
    </row>
    <row r="19" spans="1:4">
      <c r="A19" s="22" t="s">
        <v>109</v>
      </c>
      <c r="B19" s="17" t="s">
        <v>110</v>
      </c>
      <c r="C19" s="18">
        <f>4472.9</f>
        <v>4472.8999999999996</v>
      </c>
      <c r="D19" s="19">
        <f>4475.9</f>
        <v>4475.8999999999996</v>
      </c>
    </row>
    <row r="20" spans="1:4">
      <c r="A20" s="22" t="s">
        <v>111</v>
      </c>
      <c r="B20" s="17" t="s">
        <v>112</v>
      </c>
      <c r="C20" s="18">
        <f>5931.6</f>
        <v>5931.6</v>
      </c>
      <c r="D20" s="19">
        <f>5929</f>
        <v>5929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27766.33</f>
        <v>27766.33</v>
      </c>
      <c r="D22" s="19">
        <f>27766.33</f>
        <v>27766.33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759991.73</v>
      </c>
      <c r="D25" s="15">
        <f>D26+D27+D30+D28+D29+D31</f>
        <v>388183.3</v>
      </c>
    </row>
    <row r="26" spans="1:4" ht="21.75" customHeight="1">
      <c r="A26" s="24" t="s">
        <v>123</v>
      </c>
      <c r="B26" s="20" t="s">
        <v>124</v>
      </c>
      <c r="C26" s="18">
        <f>201355.08</f>
        <v>201355.08</v>
      </c>
      <c r="D26" s="19">
        <f>201355.07</f>
        <v>201355.07</v>
      </c>
    </row>
    <row r="27" spans="1:4" ht="45">
      <c r="A27" s="24" t="s">
        <v>125</v>
      </c>
      <c r="B27" s="20" t="s">
        <v>126</v>
      </c>
      <c r="C27" s="18">
        <f>30975.36</f>
        <v>30975.360000000001</v>
      </c>
      <c r="D27" s="19">
        <f>30952.56</f>
        <v>30952.560000000001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31902.6</f>
        <v>31902.6</v>
      </c>
      <c r="D29" s="19">
        <f>31623.67</f>
        <v>31623.67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495758.68999999994</v>
      </c>
      <c r="D31" s="15">
        <f>SUM(D32:D39)</f>
        <v>124252</v>
      </c>
    </row>
    <row r="32" spans="1:4" ht="18.7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42036.72</f>
        <v>42036.72</v>
      </c>
      <c r="D33" s="19">
        <f>39702.92</f>
        <v>39702.92</v>
      </c>
    </row>
    <row r="34" spans="1:4">
      <c r="A34" s="24" t="s">
        <v>139</v>
      </c>
      <c r="B34" s="17" t="s">
        <v>140</v>
      </c>
      <c r="C34" s="18">
        <f>38198.88</f>
        <v>38198.879999999997</v>
      </c>
      <c r="D34" s="19">
        <f>38601.96</f>
        <v>38601.96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369575.97</f>
        <v>369575.97</v>
      </c>
      <c r="D39" s="19"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19147.800000000003</v>
      </c>
      <c r="D45" s="27">
        <f>SUM(D46:D48)</f>
        <v>306061.40000000002</v>
      </c>
    </row>
    <row r="46" spans="1:4">
      <c r="A46" s="21" t="s">
        <v>163</v>
      </c>
      <c r="B46" s="17" t="s">
        <v>164</v>
      </c>
      <c r="C46" s="18">
        <f>18487.56</f>
        <v>18487.560000000001</v>
      </c>
      <c r="D46" s="19">
        <f>20481.7</f>
        <v>20481.7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284919.46000000002</v>
      </c>
    </row>
    <row r="48" spans="1:4">
      <c r="A48" s="21" t="s">
        <v>166</v>
      </c>
      <c r="B48" s="17" t="s">
        <v>167</v>
      </c>
      <c r="C48" s="18">
        <f>660.24</f>
        <v>660.24</v>
      </c>
      <c r="D48" s="19">
        <f>660.24</f>
        <v>660.24</v>
      </c>
    </row>
    <row r="49" spans="1:4">
      <c r="A49" s="8" t="s">
        <v>440</v>
      </c>
      <c r="B49" s="28" t="s">
        <v>168</v>
      </c>
      <c r="C49" s="29">
        <f>215655</f>
        <v>215655</v>
      </c>
      <c r="D49" s="30">
        <v>294284.48</v>
      </c>
    </row>
    <row r="50" spans="1:4">
      <c r="A50" s="8" t="s">
        <v>169</v>
      </c>
      <c r="B50" s="9" t="s">
        <v>170</v>
      </c>
      <c r="C50" s="14">
        <f>C8+C25+C40+C41+C42+C43+C44+C45+C49+C51+C52</f>
        <v>2942844.78</v>
      </c>
      <c r="D50" s="15">
        <f>D8+D25+D40+D41+D42+D43+D44+D45+D49+D51+D52</f>
        <v>2942844.78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1594442.28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1557557.16</f>
        <v>1557557.16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36885.12</f>
        <v>36885.120000000003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843300</f>
        <v>843300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2437742.2800000003</v>
      </c>
      <c r="D59" s="27">
        <f>D54+D57+D58</f>
        <v>0</v>
      </c>
    </row>
    <row r="60" spans="1:4" ht="25.5">
      <c r="A60" s="33" t="s">
        <v>188</v>
      </c>
      <c r="B60" s="9"/>
      <c r="C60" s="34">
        <v>10923.7</v>
      </c>
      <c r="D60" s="35">
        <v>10923.7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I261"/>
  <sheetViews>
    <sheetView topLeftCell="A31" workbookViewId="0">
      <selection activeCell="F49" sqref="F49"/>
    </sheetView>
  </sheetViews>
  <sheetFormatPr defaultColWidth="11.7109375" defaultRowHeight="15"/>
  <cols>
    <col min="1" max="1" width="56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39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395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72">
        <v>1482792.0699999998</v>
      </c>
      <c r="D8" s="11">
        <f>D9+D11+D14+D15</f>
        <v>1431256.2</v>
      </c>
    </row>
    <row r="9" spans="1:4" ht="30">
      <c r="A9" s="12" t="s">
        <v>90</v>
      </c>
      <c r="B9" s="13" t="s">
        <v>91</v>
      </c>
      <c r="C9" s="73">
        <v>1293215.6599999999</v>
      </c>
      <c r="D9" s="83">
        <v>1293215.6599999999</v>
      </c>
    </row>
    <row r="10" spans="1:4">
      <c r="A10" s="16" t="s">
        <v>92</v>
      </c>
      <c r="B10" s="17" t="s">
        <v>93</v>
      </c>
      <c r="C10" s="74">
        <v>837048.86328725098</v>
      </c>
      <c r="D10" s="19">
        <f>_112h_E12</f>
        <v>837048.86328725098</v>
      </c>
    </row>
    <row r="11" spans="1:4" ht="21" customHeight="1">
      <c r="A11" s="12" t="s">
        <v>94</v>
      </c>
      <c r="B11" s="20" t="s">
        <v>95</v>
      </c>
      <c r="C11" s="73"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74"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74"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74"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73">
        <v>189576.40999999997</v>
      </c>
      <c r="D15" s="15">
        <f>SUM(D16:D24)</f>
        <v>138040.53999999998</v>
      </c>
    </row>
    <row r="16" spans="1:4">
      <c r="A16" s="22" t="s">
        <v>103</v>
      </c>
      <c r="B16" s="17" t="s">
        <v>104</v>
      </c>
      <c r="C16" s="111">
        <v>126484.44</v>
      </c>
      <c r="D16" s="113">
        <v>106232.97</v>
      </c>
    </row>
    <row r="17" spans="1:9">
      <c r="A17" s="22" t="s">
        <v>105</v>
      </c>
      <c r="B17" s="17" t="s">
        <v>106</v>
      </c>
      <c r="C17" s="112"/>
      <c r="D17" s="114"/>
    </row>
    <row r="18" spans="1:9">
      <c r="A18" s="22" t="s">
        <v>107</v>
      </c>
      <c r="B18" s="17" t="s">
        <v>108</v>
      </c>
      <c r="C18" s="74">
        <v>31284.720000000001</v>
      </c>
      <c r="D18" s="19">
        <v>0</v>
      </c>
      <c r="I18" s="101">
        <f>39217.78</f>
        <v>39217.78</v>
      </c>
    </row>
    <row r="19" spans="1:9">
      <c r="A19" s="22" t="s">
        <v>109</v>
      </c>
      <c r="B19" s="17" t="s">
        <v>110</v>
      </c>
      <c r="C19" s="74">
        <v>3727.4</v>
      </c>
      <c r="D19" s="19">
        <f>3729.9</f>
        <v>3729.9</v>
      </c>
    </row>
    <row r="20" spans="1:9">
      <c r="A20" s="22" t="s">
        <v>111</v>
      </c>
      <c r="B20" s="17" t="s">
        <v>112</v>
      </c>
      <c r="C20" s="74">
        <v>4941.24</v>
      </c>
      <c r="D20" s="19">
        <f>4939.06</f>
        <v>4939.0600000000004</v>
      </c>
    </row>
    <row r="21" spans="1:9">
      <c r="A21" s="22" t="s">
        <v>113</v>
      </c>
      <c r="B21" s="17" t="s">
        <v>114</v>
      </c>
      <c r="C21" s="74">
        <v>0</v>
      </c>
      <c r="D21" s="19">
        <f>0</f>
        <v>0</v>
      </c>
    </row>
    <row r="22" spans="1:9">
      <c r="A22" s="22" t="s">
        <v>115</v>
      </c>
      <c r="B22" s="17" t="s">
        <v>116</v>
      </c>
      <c r="C22" s="74">
        <v>23138.61</v>
      </c>
      <c r="D22" s="19">
        <f>23138.61</f>
        <v>23138.61</v>
      </c>
    </row>
    <row r="23" spans="1:9">
      <c r="A23" s="22" t="s">
        <v>117</v>
      </c>
      <c r="B23" s="17" t="s">
        <v>118</v>
      </c>
      <c r="C23" s="74">
        <v>0</v>
      </c>
      <c r="D23" s="19">
        <f>0</f>
        <v>0</v>
      </c>
    </row>
    <row r="24" spans="1:9" ht="21" customHeight="1">
      <c r="A24" s="23" t="s">
        <v>119</v>
      </c>
      <c r="B24" s="17" t="s">
        <v>120</v>
      </c>
      <c r="C24" s="74">
        <v>0</v>
      </c>
      <c r="D24" s="19">
        <f>0</f>
        <v>0</v>
      </c>
    </row>
    <row r="25" spans="1:9">
      <c r="A25" s="8" t="s">
        <v>121</v>
      </c>
      <c r="B25" s="9" t="s">
        <v>122</v>
      </c>
      <c r="C25" s="73">
        <v>637889.52999999898</v>
      </c>
      <c r="D25" s="15">
        <f>D26+D27+D30+D28+D29+D31</f>
        <v>318189.13</v>
      </c>
    </row>
    <row r="26" spans="1:9" ht="21" customHeight="1">
      <c r="A26" s="24" t="s">
        <v>123</v>
      </c>
      <c r="B26" s="20" t="s">
        <v>124</v>
      </c>
      <c r="C26" s="74">
        <v>167795.88</v>
      </c>
      <c r="D26" s="19">
        <f>166397.58</f>
        <v>166397.57999999999</v>
      </c>
    </row>
    <row r="27" spans="1:9" ht="45">
      <c r="A27" s="24" t="s">
        <v>125</v>
      </c>
      <c r="B27" s="20" t="s">
        <v>126</v>
      </c>
      <c r="C27" s="74">
        <v>25474.68</v>
      </c>
      <c r="D27" s="19">
        <f>25467.49</f>
        <v>25467.49</v>
      </c>
    </row>
    <row r="28" spans="1:9" ht="33.75" customHeight="1">
      <c r="A28" s="21" t="s">
        <v>127</v>
      </c>
      <c r="B28" s="20" t="s">
        <v>128</v>
      </c>
      <c r="C28" s="74">
        <v>0</v>
      </c>
      <c r="D28" s="19">
        <f>0</f>
        <v>0</v>
      </c>
    </row>
    <row r="29" spans="1:9">
      <c r="A29" s="21" t="s">
        <v>129</v>
      </c>
      <c r="B29" s="20" t="s">
        <v>130</v>
      </c>
      <c r="C29" s="74">
        <v>25257.84</v>
      </c>
      <c r="D29" s="19">
        <f>25036.92</f>
        <v>25036.92</v>
      </c>
    </row>
    <row r="30" spans="1:9">
      <c r="A30" s="21" t="s">
        <v>131</v>
      </c>
      <c r="B30" s="20" t="s">
        <v>132</v>
      </c>
      <c r="C30" s="74">
        <v>0</v>
      </c>
      <c r="D30" s="19">
        <f>0</f>
        <v>0</v>
      </c>
    </row>
    <row r="31" spans="1:9">
      <c r="A31" s="25" t="s">
        <v>133</v>
      </c>
      <c r="B31" s="20" t="s">
        <v>134</v>
      </c>
      <c r="C31" s="73">
        <v>419361.12999999896</v>
      </c>
      <c r="D31" s="15">
        <f>SUM(D32:D39)</f>
        <v>101287.14000000001</v>
      </c>
    </row>
    <row r="32" spans="1:9" ht="20.25" customHeight="1">
      <c r="A32" s="24" t="s">
        <v>135</v>
      </c>
      <c r="B32" s="17" t="s">
        <v>136</v>
      </c>
      <c r="C32" s="74">
        <v>38289.26</v>
      </c>
      <c r="D32" s="19">
        <f>38289.26</f>
        <v>38289.26</v>
      </c>
    </row>
    <row r="33" spans="1:4">
      <c r="A33" s="24" t="s">
        <v>137</v>
      </c>
      <c r="B33" s="17" t="s">
        <v>138</v>
      </c>
      <c r="C33" s="74">
        <v>34572.239999999998</v>
      </c>
      <c r="D33" s="19">
        <f>30820.95</f>
        <v>30820.95</v>
      </c>
    </row>
    <row r="34" spans="1:4">
      <c r="A34" s="24" t="s">
        <v>139</v>
      </c>
      <c r="B34" s="17" t="s">
        <v>140</v>
      </c>
      <c r="C34" s="74">
        <v>31840.92</v>
      </c>
      <c r="D34" s="19">
        <f>32176.93</f>
        <v>32176.93</v>
      </c>
    </row>
    <row r="35" spans="1:4">
      <c r="A35" s="24" t="s">
        <v>141</v>
      </c>
      <c r="B35" s="17" t="s">
        <v>142</v>
      </c>
      <c r="C35" s="74"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74"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74"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74"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74">
        <v>314658.70999999897</v>
      </c>
      <c r="D39" s="19">
        <v>0</v>
      </c>
    </row>
    <row r="40" spans="1:4" ht="20.25" customHeight="1">
      <c r="A40" s="8" t="s">
        <v>151</v>
      </c>
      <c r="B40" s="9" t="s">
        <v>152</v>
      </c>
      <c r="C40" s="75"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75"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75"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75"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75"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75">
        <v>38486.14</v>
      </c>
      <c r="D45" s="27">
        <f>SUM(D46:D48)</f>
        <v>361679.87</v>
      </c>
    </row>
    <row r="46" spans="1:4">
      <c r="A46" s="21" t="s">
        <v>163</v>
      </c>
      <c r="B46" s="17" t="s">
        <v>164</v>
      </c>
      <c r="C46" s="74">
        <v>14636.88</v>
      </c>
      <c r="D46" s="19">
        <f>16215.66</f>
        <v>16215.66</v>
      </c>
    </row>
    <row r="47" spans="1:4">
      <c r="A47" s="21" t="s">
        <v>149</v>
      </c>
      <c r="B47" s="17" t="s">
        <v>165</v>
      </c>
      <c r="C47" s="74">
        <v>23299.06</v>
      </c>
      <c r="D47" s="19">
        <v>344914.01</v>
      </c>
    </row>
    <row r="48" spans="1:4">
      <c r="A48" s="21" t="s">
        <v>166</v>
      </c>
      <c r="B48" s="17" t="s">
        <v>167</v>
      </c>
      <c r="C48" s="74">
        <v>550.20000000000005</v>
      </c>
      <c r="D48" s="19">
        <f>550.2</f>
        <v>550.20000000000005</v>
      </c>
    </row>
    <row r="49" spans="1:4">
      <c r="A49" s="8" t="s">
        <v>440</v>
      </c>
      <c r="B49" s="28" t="s">
        <v>168</v>
      </c>
      <c r="C49" s="76">
        <v>170738.16</v>
      </c>
      <c r="D49" s="30">
        <f>218780.7</f>
        <v>218780.7</v>
      </c>
    </row>
    <row r="50" spans="1:4">
      <c r="A50" s="8" t="s">
        <v>169</v>
      </c>
      <c r="B50" s="9" t="s">
        <v>170</v>
      </c>
      <c r="C50" s="14">
        <f>C8+C25+C40+C41+C42+C43+C44+C45+C49+C51+C52</f>
        <v>2329905.899999999</v>
      </c>
      <c r="D50" s="15">
        <f>D8+D25+D40+D41+D42+D43+D44+D45+D49+D51+D52</f>
        <v>2329905.9000000004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1438976.34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1438976.34</f>
        <v>1438976.34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0</f>
        <v>0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809556</f>
        <v>809556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2248532.34</v>
      </c>
      <c r="D59" s="27">
        <f>D54+D57+D58</f>
        <v>0</v>
      </c>
    </row>
    <row r="60" spans="1:4" ht="25.5">
      <c r="A60" s="33" t="s">
        <v>188</v>
      </c>
      <c r="B60" s="9"/>
      <c r="C60" s="34">
        <v>8648.5</v>
      </c>
      <c r="D60" s="35">
        <v>8648.5</v>
      </c>
    </row>
    <row r="61" spans="1:4" ht="15.75" thickBot="1">
      <c r="A61" s="36" t="s">
        <v>189</v>
      </c>
      <c r="B61" s="37"/>
      <c r="C61" s="38">
        <f>(C50+C51+C52)/C60/12</f>
        <v>22.449999999999989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E47" sqref="E47"/>
    </sheetView>
  </sheetViews>
  <sheetFormatPr defaultColWidth="11.7109375" defaultRowHeight="15"/>
  <cols>
    <col min="1" max="1" width="58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397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4761544.09</v>
      </c>
      <c r="D8" s="11">
        <f>D9+D11+D14+D15</f>
        <v>4565714.57</v>
      </c>
    </row>
    <row r="9" spans="1:4" ht="30">
      <c r="A9" s="12" t="s">
        <v>90</v>
      </c>
      <c r="B9" s="13" t="s">
        <v>91</v>
      </c>
      <c r="C9" s="14">
        <f>4159173.56</f>
        <v>4159173.56</v>
      </c>
      <c r="D9" s="15">
        <f>4087696.46</f>
        <v>4087696.46</v>
      </c>
    </row>
    <row r="10" spans="1:4">
      <c r="A10" s="16" t="s">
        <v>92</v>
      </c>
      <c r="B10" s="17" t="s">
        <v>93</v>
      </c>
      <c r="C10" s="18">
        <f>2712768.6328725</f>
        <v>2712768.6328725</v>
      </c>
      <c r="D10" s="19">
        <f>_113h_E12</f>
        <v>2712768.6328725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602370.53</v>
      </c>
      <c r="D15" s="15">
        <f>SUM(D16:D24)</f>
        <v>478018.11000000004</v>
      </c>
    </row>
    <row r="16" spans="1:4">
      <c r="A16" s="22" t="s">
        <v>103</v>
      </c>
      <c r="B16" s="17" t="s">
        <v>104</v>
      </c>
      <c r="C16" s="111">
        <v>387753.96</v>
      </c>
      <c r="D16" s="113">
        <v>233341.28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118540.8</f>
        <v>118540.8</v>
      </c>
      <c r="D18" s="19">
        <f>148600.02</f>
        <v>148600.01999999999</v>
      </c>
    </row>
    <row r="19" spans="1:4">
      <c r="A19" s="22" t="s">
        <v>109</v>
      </c>
      <c r="B19" s="17" t="s">
        <v>110</v>
      </c>
      <c r="C19" s="18">
        <f>11460.38</f>
        <v>11460.38</v>
      </c>
      <c r="D19" s="19">
        <f>11468.08</f>
        <v>11468.08</v>
      </c>
    </row>
    <row r="20" spans="1:4">
      <c r="A20" s="22" t="s">
        <v>111</v>
      </c>
      <c r="B20" s="17" t="s">
        <v>112</v>
      </c>
      <c r="C20" s="18">
        <f>15199.56</f>
        <v>15199.56</v>
      </c>
      <c r="D20" s="19">
        <f>15192.9</f>
        <v>15192.9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69415.83</f>
        <v>69415.83</v>
      </c>
      <c r="D22" s="19">
        <f>69415.83</f>
        <v>69415.83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1842681.5599999998</v>
      </c>
      <c r="D25" s="15">
        <f>D26+D27+D30+D28+D29+D31</f>
        <v>1173349.99</v>
      </c>
    </row>
    <row r="26" spans="1:4" ht="21.75" customHeight="1">
      <c r="A26" s="24" t="s">
        <v>123</v>
      </c>
      <c r="B26" s="20" t="s">
        <v>124</v>
      </c>
      <c r="C26" s="18">
        <f>503388</f>
        <v>503388</v>
      </c>
      <c r="D26" s="19">
        <f>503388</f>
        <v>503388</v>
      </c>
    </row>
    <row r="27" spans="1:4" ht="45">
      <c r="A27" s="24" t="s">
        <v>125</v>
      </c>
      <c r="B27" s="20" t="s">
        <v>126</v>
      </c>
      <c r="C27" s="18">
        <f>77148.6</f>
        <v>77148.600000000006</v>
      </c>
      <c r="D27" s="19">
        <f>77247.85</f>
        <v>77247.850000000006</v>
      </c>
    </row>
    <row r="28" spans="1:4" ht="30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77886.84</f>
        <v>77886.84</v>
      </c>
      <c r="D29" s="19">
        <f>77205.92</f>
        <v>77205.919999999998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1184258.1199999999</v>
      </c>
      <c r="D31" s="15">
        <f>SUM(D32:D39)</f>
        <v>515508.22</v>
      </c>
    </row>
    <row r="32" spans="1:4" ht="20.25" customHeight="1">
      <c r="A32" s="24" t="s">
        <v>135</v>
      </c>
      <c r="B32" s="17" t="s">
        <v>136</v>
      </c>
      <c r="C32" s="18">
        <f>114867.79</f>
        <v>114867.79</v>
      </c>
      <c r="D32" s="19">
        <f>114867.84</f>
        <v>114867.84</v>
      </c>
    </row>
    <row r="33" spans="1:4">
      <c r="A33" s="24" t="s">
        <v>137</v>
      </c>
      <c r="B33" s="17" t="s">
        <v>138</v>
      </c>
      <c r="C33" s="18">
        <f>104699.04</f>
        <v>104699.04</v>
      </c>
      <c r="D33" s="19">
        <f>95324.03</f>
        <v>95324.03</v>
      </c>
    </row>
    <row r="34" spans="1:4">
      <c r="A34" s="24" t="s">
        <v>139</v>
      </c>
      <c r="B34" s="17" t="s">
        <v>140</v>
      </c>
      <c r="C34" s="18">
        <f>110289.84</f>
        <v>110289.84</v>
      </c>
      <c r="D34" s="19">
        <f>115101.77</f>
        <v>115101.77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507</v>
      </c>
      <c r="B39" s="17" t="s">
        <v>150</v>
      </c>
      <c r="C39" s="18">
        <v>854401.45</v>
      </c>
      <c r="D39" s="19">
        <v>190214.58</v>
      </c>
    </row>
    <row r="40" spans="1:4" ht="18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7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54903.070000000007</v>
      </c>
      <c r="D45" s="27">
        <f>SUM(D46:D48)</f>
        <v>771915.37</v>
      </c>
    </row>
    <row r="46" spans="1:4">
      <c r="A46" s="21" t="s">
        <v>163</v>
      </c>
      <c r="B46" s="17" t="s">
        <v>164</v>
      </c>
      <c r="C46" s="18">
        <f>45135.48</f>
        <v>45135.48</v>
      </c>
      <c r="D46" s="19">
        <f>50004.14</f>
        <v>50004.14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712143.64</v>
      </c>
    </row>
    <row r="48" spans="1:4">
      <c r="A48" s="21" t="s">
        <v>166</v>
      </c>
      <c r="B48" s="17" t="s">
        <v>167</v>
      </c>
      <c r="C48" s="18">
        <v>9767.59</v>
      </c>
      <c r="D48" s="19">
        <v>9767.59</v>
      </c>
    </row>
    <row r="49" spans="1:4">
      <c r="A49" s="8" t="s">
        <v>440</v>
      </c>
      <c r="B49" s="28" t="s">
        <v>168</v>
      </c>
      <c r="C49" s="29">
        <f>526499.88</f>
        <v>526499.88</v>
      </c>
      <c r="D49" s="30">
        <f>674648.67</f>
        <v>674648.67</v>
      </c>
    </row>
    <row r="50" spans="1:4">
      <c r="A50" s="8" t="s">
        <v>169</v>
      </c>
      <c r="B50" s="9" t="s">
        <v>170</v>
      </c>
      <c r="C50" s="14">
        <f>C8+C25+C40+C41+C42+C43+C44+C45+C49+C51+C52</f>
        <v>7185628.5999999996</v>
      </c>
      <c r="D50" s="15">
        <f>D8+D25+D40+D41+D42+D43+D44+D45+D49+D51+D52</f>
        <v>7185628.6000000006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4161855.36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4068189.48</f>
        <v>4068189.48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93665.88</f>
        <v>93665.88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2243928</f>
        <v>2243928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6405783.3599999994</v>
      </c>
      <c r="D59" s="27">
        <f>D54+D57+D58</f>
        <v>0</v>
      </c>
    </row>
    <row r="60" spans="1:4" ht="25.5">
      <c r="A60" s="33" t="s">
        <v>188</v>
      </c>
      <c r="B60" s="9"/>
      <c r="C60" s="34">
        <v>26669</v>
      </c>
      <c r="D60" s="35">
        <v>26669</v>
      </c>
    </row>
    <row r="61" spans="1:4" ht="15.75" thickBot="1">
      <c r="A61" s="36" t="s">
        <v>189</v>
      </c>
      <c r="B61" s="37"/>
      <c r="C61" s="38">
        <f>(C50+C51+C52)/C60/12</f>
        <v>22.453124726586424</v>
      </c>
      <c r="D61" s="39">
        <f>(D50+D51+D52)/D60/12</f>
        <v>22.453124726586424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H18" sqref="H18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473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2942767.29</v>
      </c>
      <c r="D8" s="11">
        <f>D9+D11+D14+D15</f>
        <v>2853294.91</v>
      </c>
    </row>
    <row r="9" spans="1:4" ht="30">
      <c r="A9" s="12" t="s">
        <v>90</v>
      </c>
      <c r="B9" s="13" t="s">
        <v>91</v>
      </c>
      <c r="C9" s="14">
        <f>2614696.2</f>
        <v>2614696.2000000002</v>
      </c>
      <c r="D9" s="15">
        <f>2553913.19</f>
        <v>2553913.19</v>
      </c>
    </row>
    <row r="10" spans="1:4">
      <c r="A10" s="16" t="s">
        <v>92</v>
      </c>
      <c r="B10" s="17" t="s">
        <v>93</v>
      </c>
      <c r="C10" s="18">
        <f>1536059.17050691</f>
        <v>1536059.17050691</v>
      </c>
      <c r="D10" s="19">
        <f>_114h_E12</f>
        <v>1536059.17050691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328071.08999999997</v>
      </c>
      <c r="D15" s="15">
        <f>SUM(D16:D24)</f>
        <v>299381.72000000003</v>
      </c>
    </row>
    <row r="16" spans="1:4">
      <c r="A16" s="22" t="s">
        <v>103</v>
      </c>
      <c r="B16" s="17" t="s">
        <v>104</v>
      </c>
      <c r="C16" s="111">
        <v>214728.84</v>
      </c>
      <c r="D16" s="113">
        <v>170212.03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62414.52</f>
        <v>62414.52</v>
      </c>
      <c r="D18" s="19">
        <f>78241.44</f>
        <v>78241.440000000002</v>
      </c>
    </row>
    <row r="19" spans="1:4">
      <c r="A19" s="22" t="s">
        <v>109</v>
      </c>
      <c r="B19" s="17" t="s">
        <v>110</v>
      </c>
      <c r="C19" s="18">
        <f>5976.6</f>
        <v>5976.6</v>
      </c>
      <c r="D19" s="19">
        <f>5980.6</f>
        <v>5980.6</v>
      </c>
    </row>
    <row r="20" spans="1:4">
      <c r="A20" s="22" t="s">
        <v>111</v>
      </c>
      <c r="B20" s="17" t="s">
        <v>112</v>
      </c>
      <c r="C20" s="18">
        <f>7929.36</f>
        <v>7929.36</v>
      </c>
      <c r="D20" s="19">
        <f>7925.88</f>
        <v>7925.88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37021.77</f>
        <v>37021.769999999997</v>
      </c>
      <c r="D22" s="19">
        <f>37021.77</f>
        <v>37021.769999999997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650415.3899999999</v>
      </c>
      <c r="D25" s="15">
        <f>D26+D27+D30+D28+D29+D31</f>
        <v>579583.51</v>
      </c>
    </row>
    <row r="26" spans="1:4">
      <c r="A26" s="24" t="s">
        <v>123</v>
      </c>
      <c r="B26" s="20" t="s">
        <v>124</v>
      </c>
      <c r="C26" s="18">
        <f>349015.68</f>
        <v>349015.68</v>
      </c>
      <c r="D26" s="19">
        <f>349015.68</f>
        <v>349015.68</v>
      </c>
    </row>
    <row r="27" spans="1:4" ht="45">
      <c r="A27" s="24" t="s">
        <v>125</v>
      </c>
      <c r="B27" s="20" t="s">
        <v>126</v>
      </c>
      <c r="C27" s="18">
        <f>41252.04</f>
        <v>41252.04</v>
      </c>
      <c r="D27" s="19">
        <f>41267.31</f>
        <v>41267.31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42330.36</f>
        <v>42330.36</v>
      </c>
      <c r="D29" s="19">
        <f>41960.31</f>
        <v>41960.31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217817.31</v>
      </c>
      <c r="D31" s="15">
        <f>SUM(D32:D39)</f>
        <v>147340.21</v>
      </c>
    </row>
    <row r="32" spans="1:4" ht="20.25" customHeight="1">
      <c r="A32" s="24" t="s">
        <v>135</v>
      </c>
      <c r="B32" s="17" t="s">
        <v>136</v>
      </c>
      <c r="C32" s="18">
        <f>61262.82</f>
        <v>61262.82</v>
      </c>
      <c r="D32" s="19">
        <f>61262.82</f>
        <v>61262.82</v>
      </c>
    </row>
    <row r="33" spans="1:4">
      <c r="A33" s="24" t="s">
        <v>137</v>
      </c>
      <c r="B33" s="17" t="s">
        <v>138</v>
      </c>
      <c r="C33" s="18">
        <f>55983.48</f>
        <v>55983.48</v>
      </c>
      <c r="D33" s="19">
        <f>47646.4</f>
        <v>47646.400000000001</v>
      </c>
    </row>
    <row r="34" spans="1:4">
      <c r="A34" s="24" t="s">
        <v>139</v>
      </c>
      <c r="B34" s="17" t="s">
        <v>140</v>
      </c>
      <c r="C34" s="18">
        <f>38250.12</f>
        <v>38250.120000000003</v>
      </c>
      <c r="D34" s="19">
        <f>38430.99</f>
        <v>38430.99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62320.89</f>
        <v>62320.89</v>
      </c>
      <c r="D39" s="19">
        <v>0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25410.720000000001</v>
      </c>
      <c r="D45" s="27">
        <f>SUM(D46:D48)</f>
        <v>105198.78</v>
      </c>
    </row>
    <row r="46" spans="1:4">
      <c r="A46" s="21" t="s">
        <v>163</v>
      </c>
      <c r="B46" s="17" t="s">
        <v>164</v>
      </c>
      <c r="C46" s="18">
        <f>24530.4</f>
        <v>24530.400000000001</v>
      </c>
      <c r="D46" s="19">
        <f>27176.43</f>
        <v>27176.43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77142.03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286144.08</f>
        <v>286144.08</v>
      </c>
      <c r="D49" s="30">
        <f>366660.28</f>
        <v>366660.28</v>
      </c>
    </row>
    <row r="50" spans="1:4">
      <c r="A50" s="8" t="s">
        <v>169</v>
      </c>
      <c r="B50" s="9" t="s">
        <v>170</v>
      </c>
      <c r="C50" s="14">
        <f>C8+C25+C40+C41+C42+C43+C44+C45+C49+C51+C52</f>
        <v>3904737.48</v>
      </c>
      <c r="D50" s="15">
        <f>D8+D25+D40+D41+D42+D43+D44+D45+D49+D51+D52</f>
        <v>3904737.4799999995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2210991.06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2168161.74</f>
        <v>2168161.7400000002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42829.32</f>
        <v>42829.32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1191648</f>
        <v>1191648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3402639.06</v>
      </c>
      <c r="D59" s="27">
        <f>D54+D57+D58</f>
        <v>0</v>
      </c>
    </row>
    <row r="60" spans="1:4" ht="25.5">
      <c r="A60" s="33" t="s">
        <v>188</v>
      </c>
      <c r="B60" s="9"/>
      <c r="C60" s="34">
        <v>14494.2</v>
      </c>
      <c r="D60" s="35">
        <v>14494.2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G15" sqref="G15"/>
    </sheetView>
  </sheetViews>
  <sheetFormatPr defaultColWidth="11.7109375" defaultRowHeight="15"/>
  <cols>
    <col min="1" max="1" width="60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400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4960756.72</v>
      </c>
      <c r="D8" s="11">
        <f>D9+D11+D14+D15</f>
        <v>4899662.74</v>
      </c>
    </row>
    <row r="9" spans="1:4" ht="30">
      <c r="A9" s="12" t="s">
        <v>90</v>
      </c>
      <c r="B9" s="13" t="s">
        <v>91</v>
      </c>
      <c r="C9" s="14">
        <f>4577285.3</f>
        <v>4577285.3</v>
      </c>
      <c r="D9" s="15">
        <f>4486522.16</f>
        <v>4486522.16</v>
      </c>
    </row>
    <row r="10" spans="1:4">
      <c r="A10" s="16" t="s">
        <v>92</v>
      </c>
      <c r="B10" s="17" t="s">
        <v>93</v>
      </c>
      <c r="C10" s="18">
        <f>2715655.77572965</f>
        <v>2715655.7757296502</v>
      </c>
      <c r="D10" s="19">
        <f>_115h_E12</f>
        <v>2715655.7757296502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383471.42</v>
      </c>
      <c r="D15" s="15">
        <f>SUM(D16:D24)</f>
        <v>413140.57999999996</v>
      </c>
    </row>
    <row r="16" spans="1:4">
      <c r="A16" s="22" t="s">
        <v>103</v>
      </c>
      <c r="B16" s="17" t="s">
        <v>104</v>
      </c>
      <c r="C16" s="111">
        <v>170246.24</v>
      </c>
      <c r="D16" s="113">
        <v>168552.29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123678.36</f>
        <v>123678.36</v>
      </c>
      <c r="D18" s="19">
        <f>155040.52</f>
        <v>155040.51999999999</v>
      </c>
    </row>
    <row r="19" spans="1:4">
      <c r="A19" s="22" t="s">
        <v>109</v>
      </c>
      <c r="B19" s="17" t="s">
        <v>110</v>
      </c>
      <c r="C19" s="18">
        <f>10696.26</f>
        <v>10696.26</v>
      </c>
      <c r="D19" s="19">
        <f>10703.44</f>
        <v>10703.44</v>
      </c>
    </row>
    <row r="20" spans="1:4">
      <c r="A20" s="22" t="s">
        <v>111</v>
      </c>
      <c r="B20" s="17" t="s">
        <v>112</v>
      </c>
      <c r="C20" s="18">
        <f>14062.46</f>
        <v>14062.46</v>
      </c>
      <c r="D20" s="19">
        <f>14056.23</f>
        <v>14056.23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64788.1</f>
        <v>64788.1</v>
      </c>
      <c r="D22" s="19">
        <f>64788.1</f>
        <v>64788.1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1126282.94</v>
      </c>
      <c r="D25" s="15">
        <f>D26+D27+D30+D28+D29+D31</f>
        <v>1123833.25</v>
      </c>
    </row>
    <row r="26" spans="1:4" ht="22.5" customHeight="1">
      <c r="A26" s="24" t="s">
        <v>123</v>
      </c>
      <c r="B26" s="20" t="s">
        <v>124</v>
      </c>
      <c r="C26" s="18">
        <f>610777.44</f>
        <v>610777.43999999994</v>
      </c>
      <c r="D26" s="19">
        <f>610777.45</f>
        <v>610777.44999999995</v>
      </c>
    </row>
    <row r="27" spans="1:4" ht="45">
      <c r="A27" s="24" t="s">
        <v>125</v>
      </c>
      <c r="B27" s="20" t="s">
        <v>126</v>
      </c>
      <c r="C27" s="18">
        <f>72227.4</f>
        <v>72227.399999999994</v>
      </c>
      <c r="D27" s="19">
        <f>72219.87</f>
        <v>72219.87</v>
      </c>
    </row>
    <row r="28" spans="1:4" ht="35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71715.84</f>
        <v>71715.839999999997</v>
      </c>
      <c r="D29" s="19">
        <f>71088.9</f>
        <v>71088.899999999994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371562.26</v>
      </c>
      <c r="D31" s="15">
        <f>SUM(D32:D39)</f>
        <v>369747.03</v>
      </c>
    </row>
    <row r="32" spans="1:4" ht="19.5" customHeight="1">
      <c r="A32" s="24" t="s">
        <v>135</v>
      </c>
      <c r="B32" s="17" t="s">
        <v>136</v>
      </c>
      <c r="C32" s="18">
        <f>107209.94</f>
        <v>107209.94</v>
      </c>
      <c r="D32" s="19">
        <f>107209.99</f>
        <v>107209.99</v>
      </c>
    </row>
    <row r="33" spans="1:4">
      <c r="A33" s="24" t="s">
        <v>137</v>
      </c>
      <c r="B33" s="17" t="s">
        <v>138</v>
      </c>
      <c r="C33" s="18">
        <f>98020.32</f>
        <v>98020.32</v>
      </c>
      <c r="D33" s="19">
        <f>94658.24</f>
        <v>94658.240000000005</v>
      </c>
    </row>
    <row r="34" spans="1:4">
      <c r="A34" s="24" t="s">
        <v>139</v>
      </c>
      <c r="B34" s="17" t="s">
        <v>140</v>
      </c>
      <c r="C34" s="18">
        <f>166332</f>
        <v>166332</v>
      </c>
      <c r="D34" s="19">
        <f>167878.8</f>
        <v>167878.8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0</f>
        <v>0</v>
      </c>
      <c r="D39" s="19">
        <f>0</f>
        <v>0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1461.94</f>
        <v>1461.94</v>
      </c>
      <c r="D42" s="27">
        <f>1461.94</f>
        <v>1461.94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43100.160000000003</v>
      </c>
      <c r="D45" s="27">
        <f>SUM(D46:D48)</f>
        <v>47583.060000000005</v>
      </c>
    </row>
    <row r="46" spans="1:4">
      <c r="A46" s="21" t="s">
        <v>163</v>
      </c>
      <c r="B46" s="17" t="s">
        <v>164</v>
      </c>
      <c r="C46" s="18">
        <f>41559.36</f>
        <v>41559.360000000001</v>
      </c>
      <c r="D46" s="19">
        <f>46042.26</f>
        <v>46042.26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1540.8</f>
        <v>1540.8</v>
      </c>
      <c r="D48" s="19">
        <f>1540.8</f>
        <v>1540.8</v>
      </c>
    </row>
    <row r="49" spans="1:4">
      <c r="A49" s="8" t="s">
        <v>440</v>
      </c>
      <c r="B49" s="28" t="s">
        <v>168</v>
      </c>
      <c r="C49" s="29">
        <f>484784.64</f>
        <v>484784.64000000001</v>
      </c>
      <c r="D49" s="30">
        <f>542845.41</f>
        <v>542845.41</v>
      </c>
    </row>
    <row r="50" spans="1:4">
      <c r="A50" s="8" t="s">
        <v>169</v>
      </c>
      <c r="B50" s="9" t="s">
        <v>170</v>
      </c>
      <c r="C50" s="14">
        <f>C8+C25+C40+C41+C42+C43+C44+C45+C49+C51+C52</f>
        <v>6616386.4000000004</v>
      </c>
      <c r="D50" s="15">
        <f>D8+D25+D40+D41+D42+D43+D44+D45+D49+D51+D52</f>
        <v>6615386.4000000004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3801933.06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3749183.82</f>
        <v>3749183.82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52749.24</f>
        <v>52749.24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2057520</f>
        <v>2057520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5859453.0600000005</v>
      </c>
      <c r="D59" s="27">
        <f>D54+D57+D58</f>
        <v>0</v>
      </c>
    </row>
    <row r="60" spans="1:4" ht="25.5">
      <c r="A60" s="33" t="s">
        <v>188</v>
      </c>
      <c r="B60" s="9"/>
      <c r="C60" s="34">
        <v>24556</v>
      </c>
      <c r="D60" s="35">
        <v>24556</v>
      </c>
    </row>
    <row r="61" spans="1:4" ht="15.75" thickBot="1">
      <c r="A61" s="36" t="s">
        <v>189</v>
      </c>
      <c r="B61" s="37"/>
      <c r="C61" s="38">
        <f>(C50+C51+C52)/C60/12</f>
        <v>22.45339360373568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D261"/>
  <sheetViews>
    <sheetView topLeftCell="A46" workbookViewId="0">
      <selection activeCell="G45" sqref="G45"/>
    </sheetView>
  </sheetViews>
  <sheetFormatPr defaultColWidth="11.7109375" defaultRowHeight="15"/>
  <cols>
    <col min="1" max="1" width="58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3493479.9699999997</v>
      </c>
      <c r="D8" s="11">
        <f>D9+D11+D14+D15</f>
        <v>3341386.82</v>
      </c>
    </row>
    <row r="9" spans="1:4" ht="30">
      <c r="A9" s="12" t="s">
        <v>90</v>
      </c>
      <c r="B9" s="13" t="s">
        <v>91</v>
      </c>
      <c r="C9" s="14">
        <f>3128906.05</f>
        <v>3128906.05</v>
      </c>
      <c r="D9" s="15">
        <f>3089087.04</f>
        <v>3089087.04</v>
      </c>
    </row>
    <row r="10" spans="1:4">
      <c r="A10" s="16" t="s">
        <v>92</v>
      </c>
      <c r="B10" s="17" t="s">
        <v>93</v>
      </c>
      <c r="C10" s="18">
        <f>1825850.51459293</f>
        <v>1825850.51459293</v>
      </c>
      <c r="D10" s="19">
        <f>_116h_E12</f>
        <v>1825850.51459293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364573.92000000004</v>
      </c>
      <c r="D15" s="15">
        <f>SUM(D16:D24)</f>
        <v>252299.78</v>
      </c>
    </row>
    <row r="16" spans="1:4">
      <c r="A16" s="22" t="s">
        <v>103</v>
      </c>
      <c r="B16" s="17" t="s">
        <v>104</v>
      </c>
      <c r="C16" s="111">
        <v>227478.96</v>
      </c>
      <c r="D16" s="113">
        <v>96621.28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73282.68</f>
        <v>73282.679999999993</v>
      </c>
      <c r="D18" s="19">
        <f>91865.53</f>
        <v>91865.53</v>
      </c>
    </row>
    <row r="19" spans="1:4">
      <c r="A19" s="22" t="s">
        <v>109</v>
      </c>
      <c r="B19" s="17" t="s">
        <v>110</v>
      </c>
      <c r="C19" s="18">
        <f>7539.7</f>
        <v>7539.7</v>
      </c>
      <c r="D19" s="19">
        <f>7544.77</f>
        <v>7544.77</v>
      </c>
    </row>
    <row r="20" spans="1:4">
      <c r="A20" s="22" t="s">
        <v>111</v>
      </c>
      <c r="B20" s="17" t="s">
        <v>112</v>
      </c>
      <c r="C20" s="18">
        <f>9995.36</f>
        <v>9995.36</v>
      </c>
      <c r="D20" s="19">
        <f>9990.98</f>
        <v>9990.98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46277.22</f>
        <v>46277.22</v>
      </c>
      <c r="D22" s="19">
        <f>46277.22</f>
        <v>46277.22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899865.35</v>
      </c>
      <c r="D25" s="15">
        <f>D26+D27+D30+D28+D29+D31</f>
        <v>599198.36</v>
      </c>
    </row>
    <row r="26" spans="1:4" ht="23.25" customHeight="1">
      <c r="A26" s="24" t="s">
        <v>123</v>
      </c>
      <c r="B26" s="20" t="s">
        <v>124</v>
      </c>
      <c r="C26" s="18">
        <f>335592</f>
        <v>335592</v>
      </c>
      <c r="D26" s="19">
        <f>309164.13</f>
        <v>309164.13</v>
      </c>
    </row>
    <row r="27" spans="1:4" ht="45">
      <c r="A27" s="24" t="s">
        <v>125</v>
      </c>
      <c r="B27" s="20" t="s">
        <v>126</v>
      </c>
      <c r="C27" s="18">
        <f>51673.56</f>
        <v>51673.56</v>
      </c>
      <c r="D27" s="19">
        <f>51650.9</f>
        <v>51650.9</v>
      </c>
    </row>
    <row r="28" spans="1:4" ht="30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51757.2</f>
        <v>51757.2</v>
      </c>
      <c r="D29" s="19">
        <f>51304.79</f>
        <v>51304.79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460842.58999999997</v>
      </c>
      <c r="D31" s="15">
        <f>SUM(D32:D39)</f>
        <v>187078.53999999998</v>
      </c>
    </row>
    <row r="32" spans="1:4" ht="20.25" customHeight="1">
      <c r="A32" s="24" t="s">
        <v>135</v>
      </c>
      <c r="B32" s="17" t="s">
        <v>136</v>
      </c>
      <c r="C32" s="18">
        <f>76578.53</f>
        <v>76578.53</v>
      </c>
      <c r="D32" s="19">
        <f>76578.56</f>
        <v>76578.559999999998</v>
      </c>
    </row>
    <row r="33" spans="1:4">
      <c r="A33" s="24" t="s">
        <v>137</v>
      </c>
      <c r="B33" s="17" t="s">
        <v>138</v>
      </c>
      <c r="C33" s="18">
        <f>70126.68</f>
        <v>70126.679999999993</v>
      </c>
      <c r="D33" s="19">
        <f>65141.18</f>
        <v>65141.18</v>
      </c>
    </row>
    <row r="34" spans="1:4">
      <c r="A34" s="24" t="s">
        <v>139</v>
      </c>
      <c r="B34" s="17" t="s">
        <v>140</v>
      </c>
      <c r="C34" s="18">
        <f>45941.16</f>
        <v>45941.16</v>
      </c>
      <c r="D34" s="19">
        <f>45358.8</f>
        <v>45358.8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268196.22</f>
        <v>268196.21999999997</v>
      </c>
      <c r="D39" s="19"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v>351077.68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31093.8</v>
      </c>
      <c r="D45" s="27">
        <f>SUM(D46:D48)</f>
        <v>34329.119999999995</v>
      </c>
    </row>
    <row r="46" spans="1:4">
      <c r="A46" s="21" t="s">
        <v>163</v>
      </c>
      <c r="B46" s="17" t="s">
        <v>164</v>
      </c>
      <c r="C46" s="18">
        <f>29993.28</f>
        <v>29993.279999999999</v>
      </c>
      <c r="D46" s="19">
        <f>33228.6</f>
        <v>33228.6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1100.52</f>
        <v>1100.52</v>
      </c>
      <c r="D48" s="19">
        <f>1100.52</f>
        <v>1100.52</v>
      </c>
    </row>
    <row r="49" spans="1:4">
      <c r="A49" s="8" t="s">
        <v>440</v>
      </c>
      <c r="B49" s="28" t="s">
        <v>168</v>
      </c>
      <c r="C49" s="29">
        <f>349867.68</f>
        <v>349867.68</v>
      </c>
      <c r="D49" s="30">
        <f>448314.82</f>
        <v>448314.82</v>
      </c>
    </row>
    <row r="50" spans="1:4">
      <c r="A50" s="8" t="s">
        <v>169</v>
      </c>
      <c r="B50" s="9" t="s">
        <v>170</v>
      </c>
      <c r="C50" s="14">
        <f>C8+C25+C40+C41+C42+C43+C44+C45+C49+C51+C52</f>
        <v>4774306.7999999989</v>
      </c>
      <c r="D50" s="15">
        <f>D8+D25+D40+D41+D42+D43+D44+D45+D49+D51+D52</f>
        <v>4774306.8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2635049.16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2592091.08</f>
        <v>2592091.08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42958.08</f>
        <v>42958.080000000002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1413900</f>
        <v>1413900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4048949.16</v>
      </c>
      <c r="D59" s="27">
        <f>D54+D57+D58</f>
        <v>0</v>
      </c>
    </row>
    <row r="60" spans="1:4" ht="25.5">
      <c r="A60" s="33" t="s">
        <v>188</v>
      </c>
      <c r="B60" s="9"/>
      <c r="C60" s="34">
        <v>17722</v>
      </c>
      <c r="D60" s="35">
        <v>17722</v>
      </c>
    </row>
    <row r="61" spans="1:4" ht="15.75" thickBot="1">
      <c r="A61" s="36" t="s">
        <v>189</v>
      </c>
      <c r="B61" s="37"/>
      <c r="C61" s="38">
        <f>(C50+C51+C52)/C60/12</f>
        <v>22.449999999999992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E47" sqref="E47"/>
    </sheetView>
  </sheetViews>
  <sheetFormatPr defaultColWidth="11.7109375" defaultRowHeight="15"/>
  <cols>
    <col min="1" max="1" width="61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403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2240836.61</v>
      </c>
      <c r="D8" s="11">
        <f>D9+D11+D14+D15</f>
        <v>2114958.2600000002</v>
      </c>
    </row>
    <row r="9" spans="1:4" ht="30">
      <c r="A9" s="12" t="s">
        <v>90</v>
      </c>
      <c r="B9" s="13" t="s">
        <v>91</v>
      </c>
      <c r="C9" s="14">
        <f>1992915.89</f>
        <v>1992915.89</v>
      </c>
      <c r="D9" s="15">
        <f>1941080.37</f>
        <v>1941080.37</v>
      </c>
    </row>
    <row r="10" spans="1:4">
      <c r="A10" s="16" t="s">
        <v>92</v>
      </c>
      <c r="B10" s="17" t="s">
        <v>93</v>
      </c>
      <c r="C10" s="18">
        <f>1154214.78494624</f>
        <v>1154214.78494624</v>
      </c>
      <c r="D10" s="19">
        <f>_117h_E12</f>
        <v>1154214.78494624</v>
      </c>
    </row>
    <row r="11" spans="1:4" ht="26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 ht="18" customHeight="1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3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247920.71999999997</v>
      </c>
      <c r="D15" s="15">
        <f>SUM(D16:D24)</f>
        <v>173877.88999999998</v>
      </c>
    </row>
    <row r="16" spans="1:4">
      <c r="A16" s="22" t="s">
        <v>103</v>
      </c>
      <c r="B16" s="17" t="s">
        <v>104</v>
      </c>
      <c r="C16" s="111">
        <v>159235.68</v>
      </c>
      <c r="D16" s="113">
        <v>74030.929999999993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44016.12</f>
        <v>44016.12</v>
      </c>
      <c r="D18" s="19">
        <f>55177.56</f>
        <v>55177.56</v>
      </c>
    </row>
    <row r="19" spans="1:4">
      <c r="A19" s="22" t="s">
        <v>109</v>
      </c>
      <c r="B19" s="17" t="s">
        <v>110</v>
      </c>
      <c r="C19" s="18">
        <f>5277.78</f>
        <v>5277.78</v>
      </c>
      <c r="D19" s="19">
        <f>5281.32</f>
        <v>5281.32</v>
      </c>
    </row>
    <row r="20" spans="1:4">
      <c r="A20" s="22" t="s">
        <v>111</v>
      </c>
      <c r="B20" s="17" t="s">
        <v>112</v>
      </c>
      <c r="C20" s="18">
        <f>6997.09</f>
        <v>6997.09</v>
      </c>
      <c r="D20" s="19">
        <f>6994.03</f>
        <v>6994.03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32394.05</f>
        <v>32394.05</v>
      </c>
      <c r="D22" s="19">
        <f>32394.05</f>
        <v>32394.05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592751.93000001111</v>
      </c>
      <c r="D25" s="15">
        <f>D26+D27+D30+D28+D29+D31</f>
        <v>466340.87</v>
      </c>
    </row>
    <row r="26" spans="1:4" ht="21.75" customHeight="1">
      <c r="A26" s="24" t="s">
        <v>123</v>
      </c>
      <c r="B26" s="20" t="s">
        <v>124</v>
      </c>
      <c r="C26" s="18">
        <f>276024.42</f>
        <v>276024.42</v>
      </c>
      <c r="D26" s="19">
        <f>265453.27</f>
        <v>265453.27</v>
      </c>
    </row>
    <row r="27" spans="1:4" ht="36" customHeight="1">
      <c r="A27" s="24" t="s">
        <v>125</v>
      </c>
      <c r="B27" s="20" t="s">
        <v>126</v>
      </c>
      <c r="C27" s="18">
        <f>35751.84</f>
        <v>35751.839999999997</v>
      </c>
      <c r="D27" s="19">
        <f>35782.26</f>
        <v>35782.26</v>
      </c>
    </row>
    <row r="28" spans="1:4" ht="36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33749.28</f>
        <v>33749.279999999999</v>
      </c>
      <c r="D29" s="19">
        <f>33454.12</f>
        <v>33454.120000000003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247226.39000001102</v>
      </c>
      <c r="D31" s="15">
        <f>SUM(D32:D39)</f>
        <v>131651.22</v>
      </c>
    </row>
    <row r="32" spans="1:4" ht="21.75" customHeight="1">
      <c r="A32" s="24" t="s">
        <v>135</v>
      </c>
      <c r="B32" s="17" t="s">
        <v>136</v>
      </c>
      <c r="C32" s="18">
        <f>53604.97</f>
        <v>53604.97</v>
      </c>
      <c r="D32" s="19">
        <f>53604.97</f>
        <v>53604.97</v>
      </c>
    </row>
    <row r="33" spans="1:4">
      <c r="A33" s="24" t="s">
        <v>137</v>
      </c>
      <c r="B33" s="17" t="s">
        <v>138</v>
      </c>
      <c r="C33" s="18">
        <f>48519</f>
        <v>48519</v>
      </c>
      <c r="D33" s="19">
        <f>44305.21</f>
        <v>44305.21</v>
      </c>
    </row>
    <row r="34" spans="1:4">
      <c r="A34" s="24" t="s">
        <v>139</v>
      </c>
      <c r="B34" s="17" t="s">
        <v>140</v>
      </c>
      <c r="C34" s="18">
        <f>32148.6</f>
        <v>32148.6</v>
      </c>
      <c r="D34" s="19">
        <f>33741.04</f>
        <v>33741.040000000001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 ht="18.75" customHeight="1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2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112953.820000011</f>
        <v>112953.82000001099</v>
      </c>
      <c r="D39" s="19">
        <f>0</f>
        <v>0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8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6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51459.86</v>
      </c>
      <c r="D45" s="27">
        <f>SUM(D46:D48)</f>
        <v>239555.27</v>
      </c>
    </row>
    <row r="46" spans="1:4">
      <c r="A46" s="21" t="s">
        <v>163</v>
      </c>
      <c r="B46" s="17" t="s">
        <v>164</v>
      </c>
      <c r="C46" s="18">
        <f>19557.72</f>
        <v>19557.72</v>
      </c>
      <c r="D46" s="19">
        <f>21667.28</f>
        <v>21667.279999999999</v>
      </c>
    </row>
    <row r="47" spans="1:4">
      <c r="A47" s="21" t="s">
        <v>149</v>
      </c>
      <c r="B47" s="17" t="s">
        <v>165</v>
      </c>
      <c r="C47" s="18">
        <f>31131.86</f>
        <v>31131.86</v>
      </c>
      <c r="D47" s="19">
        <f>217117.71</f>
        <v>217117.71</v>
      </c>
    </row>
    <row r="48" spans="1:4">
      <c r="A48" s="21" t="s">
        <v>166</v>
      </c>
      <c r="B48" s="17" t="s">
        <v>167</v>
      </c>
      <c r="C48" s="18">
        <f>770.28</f>
        <v>770.28</v>
      </c>
      <c r="D48" s="19">
        <f>770.28</f>
        <v>770.28</v>
      </c>
    </row>
    <row r="49" spans="1:4">
      <c r="A49" s="8" t="s">
        <v>440</v>
      </c>
      <c r="B49" s="28" t="s">
        <v>168</v>
      </c>
      <c r="C49" s="29">
        <f>228138</f>
        <v>228138</v>
      </c>
      <c r="D49" s="30">
        <f>292332</f>
        <v>292332</v>
      </c>
    </row>
    <row r="50" spans="1:4">
      <c r="A50" s="8" t="s">
        <v>169</v>
      </c>
      <c r="B50" s="9" t="s">
        <v>170</v>
      </c>
      <c r="C50" s="14">
        <f>C8+C25+C40+C41+C42+C43+C44+C45+C49+C51+C52</f>
        <v>3113186.4000000111</v>
      </c>
      <c r="D50" s="15">
        <f>D8+D25+D40+D41+D42+D43+D44+D45+D49+D51+D52</f>
        <v>3113186.4000000004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1811418.66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1811418.66</f>
        <v>1811418.66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0</f>
        <v>0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1002558</f>
        <v>1002558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2813976.66</v>
      </c>
      <c r="D59" s="27">
        <f>D54+D57+D58</f>
        <v>0</v>
      </c>
    </row>
    <row r="60" spans="1:4" ht="25.5">
      <c r="A60" s="33" t="s">
        <v>188</v>
      </c>
      <c r="B60" s="9"/>
      <c r="C60" s="34">
        <v>11556</v>
      </c>
      <c r="D60" s="35">
        <v>11556</v>
      </c>
    </row>
    <row r="61" spans="1:4" ht="15.75" thickBot="1">
      <c r="A61" s="36" t="s">
        <v>189</v>
      </c>
      <c r="B61" s="37"/>
      <c r="C61" s="38">
        <f>(C50+C51+C52)/C60/12</f>
        <v>22.450000000000077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D16:D17"/>
    <mergeCell ref="C16:C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G52" sqref="G52"/>
    </sheetView>
  </sheetViews>
  <sheetFormatPr defaultColWidth="11.7109375" defaultRowHeight="15"/>
  <cols>
    <col min="1" max="1" width="62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1418605.56</v>
      </c>
      <c r="D8" s="11">
        <f>D9+D11+D14+D15</f>
        <v>1345749.4100000001</v>
      </c>
    </row>
    <row r="9" spans="1:4" ht="30">
      <c r="A9" s="12" t="s">
        <v>90</v>
      </c>
      <c r="B9" s="13" t="s">
        <v>91</v>
      </c>
      <c r="C9" s="14">
        <f>1292136.12</f>
        <v>1292136.1200000001</v>
      </c>
      <c r="D9" s="15">
        <f>1262358.83</f>
        <v>1262358.83</v>
      </c>
    </row>
    <row r="10" spans="1:4" ht="19.5" customHeight="1">
      <c r="A10" s="16" t="s">
        <v>92</v>
      </c>
      <c r="B10" s="17" t="s">
        <v>93</v>
      </c>
      <c r="C10" s="18">
        <f>726054.193548387</f>
        <v>726054.19354838703</v>
      </c>
      <c r="D10" s="19">
        <f>_118h_E12</f>
        <v>726054.19354838703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 ht="18.75" customHeight="1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126469.44</v>
      </c>
      <c r="D15" s="15">
        <f>SUM(D16:D24)</f>
        <v>83390.580000000016</v>
      </c>
    </row>
    <row r="16" spans="1:4">
      <c r="A16" s="22" t="s">
        <v>103</v>
      </c>
      <c r="B16" s="17" t="s">
        <v>104</v>
      </c>
      <c r="C16" s="111">
        <v>90885.48</v>
      </c>
      <c r="D16" s="113">
        <v>52365.440000000002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28878.24</f>
        <v>28878.240000000002</v>
      </c>
      <c r="D18" s="19">
        <f>24317.97</f>
        <v>24317.97</v>
      </c>
    </row>
    <row r="19" spans="1:4">
      <c r="A19" s="22" t="s">
        <v>109</v>
      </c>
      <c r="B19" s="17" t="s">
        <v>110</v>
      </c>
      <c r="C19" s="18">
        <f>3977.3</f>
        <v>3977.3</v>
      </c>
      <c r="D19" s="19">
        <f>3979.96</f>
        <v>3979.96</v>
      </c>
    </row>
    <row r="20" spans="1:4">
      <c r="A20" s="22" t="s">
        <v>111</v>
      </c>
      <c r="B20" s="17" t="s">
        <v>112</v>
      </c>
      <c r="C20" s="18">
        <f>2728.42</f>
        <v>2728.42</v>
      </c>
      <c r="D20" s="19">
        <f>2727.21</f>
        <v>2727.21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608569.56000000006</v>
      </c>
      <c r="D25" s="15">
        <f>D26+D27+D30+D28+D29+D31</f>
        <v>704021.80999999994</v>
      </c>
    </row>
    <row r="26" spans="1:4" ht="19.5" customHeight="1">
      <c r="A26" s="24" t="s">
        <v>123</v>
      </c>
      <c r="B26" s="20" t="s">
        <v>124</v>
      </c>
      <c r="C26" s="18">
        <f>294763.68</f>
        <v>294763.68</v>
      </c>
      <c r="D26" s="19">
        <f>291693.23</f>
        <v>291693.23</v>
      </c>
    </row>
    <row r="27" spans="1:4" ht="34.5" customHeight="1">
      <c r="A27" s="24" t="s">
        <v>125</v>
      </c>
      <c r="B27" s="20" t="s">
        <v>126</v>
      </c>
      <c r="C27" s="18">
        <f>18527.04</f>
        <v>18527.04</v>
      </c>
      <c r="D27" s="19">
        <f>18611.18</f>
        <v>18611.18</v>
      </c>
    </row>
    <row r="28" spans="1:4" ht="35.2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23880.84</f>
        <v>23880.84</v>
      </c>
      <c r="D29" s="19">
        <f>23672.04</f>
        <v>23672.04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135246</v>
      </c>
      <c r="D31" s="15">
        <f>SUM(D32:D39)</f>
        <v>233893.36</v>
      </c>
    </row>
    <row r="32" spans="1:4" ht="19.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23495.44</f>
        <v>23495.439999999999</v>
      </c>
    </row>
    <row r="34" spans="1:4">
      <c r="A34" s="24" t="s">
        <v>139</v>
      </c>
      <c r="B34" s="17" t="s">
        <v>140</v>
      </c>
      <c r="C34" s="18">
        <f>94702.68</f>
        <v>94702.68</v>
      </c>
      <c r="D34" s="19">
        <f>93161.9</f>
        <v>93161.9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18" customHeight="1">
      <c r="A39" s="24" t="s">
        <v>472</v>
      </c>
      <c r="B39" s="17" t="s">
        <v>150</v>
      </c>
      <c r="C39" s="18">
        <v>84.13</v>
      </c>
      <c r="D39" s="19">
        <f>101920.36</f>
        <v>101920.36</v>
      </c>
    </row>
    <row r="40" spans="1:4" ht="17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8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 ht="16.5" customHeight="1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7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 ht="19.5" customHeight="1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 ht="18.75" customHeight="1">
      <c r="A45" s="8" t="s">
        <v>161</v>
      </c>
      <c r="B45" s="9" t="s">
        <v>162</v>
      </c>
      <c r="C45" s="26">
        <f>SUM(C46:C48)</f>
        <v>14279.16</v>
      </c>
      <c r="D45" s="27">
        <f>SUM(D46:D48)</f>
        <v>12693.78</v>
      </c>
    </row>
    <row r="46" spans="1:4">
      <c r="A46" s="21" t="s">
        <v>163</v>
      </c>
      <c r="B46" s="17" t="s">
        <v>164</v>
      </c>
      <c r="C46" s="18">
        <f>13839</f>
        <v>13839</v>
      </c>
      <c r="D46" s="19">
        <f>12253.62</f>
        <v>12253.62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 ht="18" customHeight="1">
      <c r="A49" s="8" t="s">
        <v>440</v>
      </c>
      <c r="B49" s="28" t="s">
        <v>168</v>
      </c>
      <c r="C49" s="29">
        <f>161429.52</f>
        <v>161429.51999999999</v>
      </c>
      <c r="D49" s="30">
        <f>140418.8</f>
        <v>140418.79999999999</v>
      </c>
    </row>
    <row r="50" spans="1:4">
      <c r="A50" s="8" t="s">
        <v>169</v>
      </c>
      <c r="B50" s="9" t="s">
        <v>170</v>
      </c>
      <c r="C50" s="14">
        <f>C8+C25+C40+C41+C42+C43+C44+C45+C49+C51+C52</f>
        <v>2202883.7999999998</v>
      </c>
      <c r="D50" s="15">
        <f>D8+D25+D40+D41+D42+D43+D44+D45+D49+D51+D52</f>
        <v>2202883.8000000003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1222131.78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1181745.78</f>
        <v>1181745.78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40386</f>
        <v>40386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630360</f>
        <v>630360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1852491.78</v>
      </c>
      <c r="D59" s="27">
        <f>D54+D57+D58</f>
        <v>0</v>
      </c>
    </row>
    <row r="60" spans="1:4" ht="25.5">
      <c r="A60" s="33" t="s">
        <v>188</v>
      </c>
      <c r="B60" s="9"/>
      <c r="C60" s="34">
        <v>8177</v>
      </c>
      <c r="D60" s="35">
        <v>8177</v>
      </c>
    </row>
    <row r="61" spans="1:4" ht="16.5" customHeight="1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D261"/>
  <sheetViews>
    <sheetView topLeftCell="A22" workbookViewId="0">
      <selection activeCell="G27" sqref="G27"/>
    </sheetView>
  </sheetViews>
  <sheetFormatPr defaultColWidth="11.7109375" defaultRowHeight="15"/>
  <cols>
    <col min="1" max="1" width="59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406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2774492.29</v>
      </c>
      <c r="D8" s="11">
        <f>D9+D11+D14+D15</f>
        <v>2641450.9400000004</v>
      </c>
    </row>
    <row r="9" spans="1:4" ht="30">
      <c r="A9" s="12" t="s">
        <v>90</v>
      </c>
      <c r="B9" s="13" t="s">
        <v>91</v>
      </c>
      <c r="C9" s="14">
        <f>2605419.84</f>
        <v>2605419.84</v>
      </c>
      <c r="D9" s="15">
        <f>2401453.2</f>
        <v>2401453.2000000002</v>
      </c>
    </row>
    <row r="10" spans="1:4">
      <c r="A10" s="16" t="s">
        <v>92</v>
      </c>
      <c r="B10" s="17" t="s">
        <v>93</v>
      </c>
      <c r="C10" s="18">
        <f>1469555.85253456</f>
        <v>1469555.85253456</v>
      </c>
      <c r="D10" s="19">
        <f>_119h_E12</f>
        <v>1469555.85253456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169072.45</v>
      </c>
      <c r="D15" s="15">
        <f>SUM(D16:D24)</f>
        <v>239997.74</v>
      </c>
    </row>
    <row r="16" spans="1:4">
      <c r="A16" s="22" t="s">
        <v>103</v>
      </c>
      <c r="B16" s="17" t="s">
        <v>104</v>
      </c>
      <c r="C16" s="111">
        <v>102040.8</v>
      </c>
      <c r="D16" s="113">
        <v>181415.99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53528.77</f>
        <v>53528.77</v>
      </c>
      <c r="D18" s="19">
        <f>45075.93</f>
        <v>45075.93</v>
      </c>
    </row>
    <row r="19" spans="1:4">
      <c r="A19" s="22" t="s">
        <v>109</v>
      </c>
      <c r="B19" s="17" t="s">
        <v>110</v>
      </c>
      <c r="C19" s="18">
        <f>7991.4</f>
        <v>7991.4</v>
      </c>
      <c r="D19" s="19">
        <f>7996.78</f>
        <v>7996.78</v>
      </c>
    </row>
    <row r="20" spans="1:4">
      <c r="A20" s="22" t="s">
        <v>111</v>
      </c>
      <c r="B20" s="17" t="s">
        <v>112</v>
      </c>
      <c r="C20" s="18">
        <f>5511.48</f>
        <v>5511.48</v>
      </c>
      <c r="D20" s="19">
        <f>5509.04</f>
        <v>5509.04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1266160.77</v>
      </c>
      <c r="D25" s="15">
        <f>D26+D27+D30+D28+D29+D31</f>
        <v>1447377.17</v>
      </c>
    </row>
    <row r="26" spans="1:4" ht="21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45">
      <c r="A27" s="24" t="s">
        <v>125</v>
      </c>
      <c r="B27" s="20" t="s">
        <v>126</v>
      </c>
      <c r="C27" s="18">
        <f>37054.56</f>
        <v>37054.559999999998</v>
      </c>
      <c r="D27" s="19">
        <f>37024.1</f>
        <v>37024.1</v>
      </c>
    </row>
    <row r="28" spans="1:4" ht="38.2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47653.8</f>
        <v>47653.8</v>
      </c>
      <c r="D29" s="19">
        <f>47237.25</f>
        <v>47237.25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319621.05</v>
      </c>
      <c r="D31" s="15">
        <f>SUM(D32:D39)</f>
        <v>501284.46</v>
      </c>
    </row>
    <row r="32" spans="1:4" ht="19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50286.96</f>
        <v>50286.96</v>
      </c>
      <c r="D33" s="19">
        <f>64551.08</f>
        <v>64551.08</v>
      </c>
    </row>
    <row r="34" spans="1:4">
      <c r="A34" s="24" t="s">
        <v>139</v>
      </c>
      <c r="B34" s="17" t="s">
        <v>140</v>
      </c>
      <c r="C34" s="18">
        <f>94702.68</f>
        <v>94702.68</v>
      </c>
      <c r="D34" s="19">
        <f>93161.9</f>
        <v>93161.9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/>
      <c r="D39" s="19">
        <f>168940.07</f>
        <v>168940.07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33016.46</v>
      </c>
      <c r="D45" s="27">
        <f>SUM(D46:D48)</f>
        <v>26767.09</v>
      </c>
    </row>
    <row r="46" spans="1:4">
      <c r="A46" s="21" t="s">
        <v>163</v>
      </c>
      <c r="B46" s="17" t="s">
        <v>164</v>
      </c>
      <c r="C46" s="18">
        <f>27615.48</f>
        <v>27615.48</v>
      </c>
      <c r="D46" s="19">
        <f>21366.11</f>
        <v>21366.11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5400.98</f>
        <v>5400.98</v>
      </c>
      <c r="D48" s="19">
        <f>5400.98</f>
        <v>5400.98</v>
      </c>
    </row>
    <row r="49" spans="1:4">
      <c r="A49" s="8" t="s">
        <v>440</v>
      </c>
      <c r="B49" s="28" t="s">
        <v>168</v>
      </c>
      <c r="C49" s="29">
        <f>322130.28</f>
        <v>322130.28000000003</v>
      </c>
      <c r="D49" s="30">
        <f>280204.6</f>
        <v>280204.59999999998</v>
      </c>
    </row>
    <row r="50" spans="1:4">
      <c r="A50" s="8" t="s">
        <v>169</v>
      </c>
      <c r="B50" s="9" t="s">
        <v>170</v>
      </c>
      <c r="C50" s="14">
        <f>C8+C25+C40+C41+C42+C43+C44+C45+C49+C51+C52</f>
        <v>4395799.8</v>
      </c>
      <c r="D50" s="15">
        <f>D8+D25+D40+D41+D42+D43+D44+D45+D49+D51+D52</f>
        <v>4395799.8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2627810.2199999997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2502199.38</f>
        <v>2502199.38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125610.84</f>
        <v>125610.84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1357458</f>
        <v>1357458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3985268.2199999997</v>
      </c>
      <c r="D59" s="27">
        <f>D54+D57+D58</f>
        <v>0</v>
      </c>
    </row>
    <row r="60" spans="1:4" ht="25.5">
      <c r="A60" s="33" t="s">
        <v>188</v>
      </c>
      <c r="B60" s="9"/>
      <c r="C60" s="34">
        <v>16317</v>
      </c>
      <c r="D60" s="35">
        <v>16317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J16" sqref="J16"/>
    </sheetView>
  </sheetViews>
  <sheetFormatPr defaultColWidth="11.7109375" defaultRowHeight="15"/>
  <cols>
    <col min="1" max="1" width="59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210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1816363.15</v>
      </c>
      <c r="D8" s="11">
        <f>D9+D11+D14+D15</f>
        <v>1792240.2600000002</v>
      </c>
    </row>
    <row r="9" spans="1:4" ht="30">
      <c r="A9" s="12" t="s">
        <v>90</v>
      </c>
      <c r="B9" s="13" t="s">
        <v>91</v>
      </c>
      <c r="C9" s="14">
        <f>1543275.25</f>
        <v>1543275.25</v>
      </c>
      <c r="D9" s="15">
        <v>1501184.86</v>
      </c>
    </row>
    <row r="10" spans="1:4">
      <c r="A10" s="16" t="s">
        <v>92</v>
      </c>
      <c r="B10" s="17" t="s">
        <v>93</v>
      </c>
      <c r="C10" s="18">
        <f>923076.413210446</f>
        <v>923076.41321044602</v>
      </c>
      <c r="D10" s="19">
        <f>_12h_E12</f>
        <v>923076.41321044602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273087.89999999997</v>
      </c>
      <c r="D15" s="15">
        <f>SUM(D16:D24)</f>
        <v>291055.40000000002</v>
      </c>
    </row>
    <row r="16" spans="1:4">
      <c r="A16" s="22" t="s">
        <v>103</v>
      </c>
      <c r="B16" s="17" t="s">
        <v>104</v>
      </c>
      <c r="C16" s="111">
        <v>221767.44</v>
      </c>
      <c r="D16" s="113">
        <v>229496.44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40367.52</f>
        <v>40367.519999999997</v>
      </c>
      <c r="D18" s="19">
        <f>50603.75</f>
        <v>50603.75</v>
      </c>
    </row>
    <row r="19" spans="1:4">
      <c r="A19" s="22" t="s">
        <v>109</v>
      </c>
      <c r="B19" s="17" t="s">
        <v>110</v>
      </c>
      <c r="C19" s="18">
        <f>6455.58</f>
        <v>6455.58</v>
      </c>
      <c r="D19" s="19">
        <f>6459.9</f>
        <v>6459.9</v>
      </c>
    </row>
    <row r="20" spans="1:4">
      <c r="A20" s="22" t="s">
        <v>111</v>
      </c>
      <c r="B20" s="17" t="s">
        <v>112</v>
      </c>
      <c r="C20" s="18">
        <f>4497.36</f>
        <v>4497.3599999999997</v>
      </c>
      <c r="D20" s="19">
        <f>4495.31</f>
        <v>4495.3100000000004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1271086.730000006</v>
      </c>
      <c r="D25" s="15">
        <f>D26+D27+D30+D28+D29+D31</f>
        <v>991560.14</v>
      </c>
    </row>
    <row r="26" spans="1:4" ht="20.25" customHeight="1">
      <c r="A26" s="24" t="s">
        <v>123</v>
      </c>
      <c r="B26" s="20" t="s">
        <v>124</v>
      </c>
      <c r="C26" s="18">
        <f>575544.6</f>
        <v>575544.6</v>
      </c>
      <c r="D26" s="19">
        <f>561955.35</f>
        <v>561955.35</v>
      </c>
    </row>
    <row r="27" spans="1:4" ht="45">
      <c r="A27" s="24" t="s">
        <v>125</v>
      </c>
      <c r="B27" s="20" t="s">
        <v>126</v>
      </c>
      <c r="C27" s="18">
        <f>27790.8</f>
        <v>27790.799999999999</v>
      </c>
      <c r="D27" s="19">
        <f>27752.92</f>
        <v>27752.92</v>
      </c>
    </row>
    <row r="28" spans="1:4" ht="30.75" customHeight="1">
      <c r="A28" s="21" t="s">
        <v>127</v>
      </c>
      <c r="B28" s="20" t="s">
        <v>128</v>
      </c>
      <c r="C28" s="18">
        <f>237830.4</f>
        <v>237830.39999999999</v>
      </c>
      <c r="D28" s="19">
        <f>237830.28</f>
        <v>237830.28</v>
      </c>
    </row>
    <row r="29" spans="1:4">
      <c r="A29" s="21" t="s">
        <v>129</v>
      </c>
      <c r="B29" s="20" t="s">
        <v>130</v>
      </c>
      <c r="C29" s="18">
        <f>36371.88</f>
        <v>36371.879999999997</v>
      </c>
      <c r="D29" s="19">
        <f>36053.83</f>
        <v>36053.83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393549.05000000598</v>
      </c>
      <c r="D31" s="15">
        <f>SUM(D32:D39)</f>
        <v>127967.76000000001</v>
      </c>
    </row>
    <row r="32" spans="1:4" ht="20.25" customHeight="1">
      <c r="A32" s="24" t="s">
        <v>135</v>
      </c>
      <c r="B32" s="17" t="s">
        <v>136</v>
      </c>
      <c r="C32" s="18">
        <f>22973.56</f>
        <v>22973.56</v>
      </c>
      <c r="D32" s="19">
        <f>22973.54</f>
        <v>22973.54</v>
      </c>
    </row>
    <row r="33" spans="1:4">
      <c r="A33" s="24" t="s">
        <v>137</v>
      </c>
      <c r="B33" s="17" t="s">
        <v>138</v>
      </c>
      <c r="C33" s="18">
        <f>37715.16</f>
        <v>37715.160000000003</v>
      </c>
      <c r="D33" s="19">
        <f>28500.95</f>
        <v>28500.95</v>
      </c>
    </row>
    <row r="34" spans="1:4">
      <c r="A34" s="24" t="s">
        <v>139</v>
      </c>
      <c r="B34" s="17" t="s">
        <v>140</v>
      </c>
      <c r="C34" s="18">
        <f>68193.96</f>
        <v>68193.960000000006</v>
      </c>
      <c r="D34" s="19">
        <f>67118.39</f>
        <v>67118.39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2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f>264666.370000006</f>
        <v>264666.37000000599</v>
      </c>
      <c r="D39" s="19">
        <v>9374.8799999999992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v>232193.59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21737.760000000002</v>
      </c>
      <c r="D45" s="27">
        <f>SUM(D46:D48)</f>
        <v>24011.29</v>
      </c>
    </row>
    <row r="46" spans="1:4">
      <c r="A46" s="21" t="s">
        <v>163</v>
      </c>
      <c r="B46" s="17" t="s">
        <v>164</v>
      </c>
      <c r="C46" s="18">
        <f>21077.52</f>
        <v>21077.52</v>
      </c>
      <c r="D46" s="19">
        <f>23351.05</f>
        <v>23351.05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660.24</f>
        <v>660.24</v>
      </c>
      <c r="D48" s="19">
        <f>660.24</f>
        <v>660.24</v>
      </c>
    </row>
    <row r="49" spans="1:4">
      <c r="A49" s="8" t="s">
        <v>440</v>
      </c>
      <c r="B49" s="28" t="s">
        <v>168</v>
      </c>
      <c r="C49" s="29">
        <f>245866.08</f>
        <v>245866.08</v>
      </c>
      <c r="D49" s="30">
        <f>315048.44</f>
        <v>315048.44</v>
      </c>
    </row>
    <row r="50" spans="1:4">
      <c r="A50" s="8" t="s">
        <v>169</v>
      </c>
      <c r="B50" s="9" t="s">
        <v>170</v>
      </c>
      <c r="C50" s="14">
        <f>C8+C25+C40+C41+C42+C43+C44+C45+C49+C51+C52</f>
        <v>3355053.7200000058</v>
      </c>
      <c r="D50" s="15">
        <f>D8+D25+D40+D41+D42+D43+D44+D45+D49+D51+D52</f>
        <v>3355053.72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1745750.34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1672631.58</f>
        <v>1672631.58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73118.76</f>
        <v>73118.759999999995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844200</f>
        <v>844200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2589950.34</v>
      </c>
      <c r="D59" s="27">
        <f>D54+D57+D58</f>
        <v>0</v>
      </c>
    </row>
    <row r="60" spans="1:4" ht="25.5">
      <c r="A60" s="33" t="s">
        <v>188</v>
      </c>
      <c r="B60" s="9"/>
      <c r="C60" s="34">
        <v>12453.8</v>
      </c>
      <c r="D60" s="35">
        <v>12453.8</v>
      </c>
    </row>
    <row r="61" spans="1:4" ht="15.75" thickBot="1">
      <c r="A61" s="36" t="s">
        <v>189</v>
      </c>
      <c r="B61" s="37"/>
      <c r="C61" s="38">
        <f>(C50+C51+C52)/C60/12</f>
        <v>22.450000000000042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D39" sqref="D39"/>
    </sheetView>
  </sheetViews>
  <sheetFormatPr defaultColWidth="11.7109375" defaultRowHeight="15"/>
  <cols>
    <col min="1" max="1" width="60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408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4578587.1500000004</v>
      </c>
      <c r="D8" s="11">
        <f>D9+D11+D14+D15</f>
        <v>4336281.28</v>
      </c>
    </row>
    <row r="9" spans="1:4" ht="30">
      <c r="A9" s="12" t="s">
        <v>90</v>
      </c>
      <c r="B9" s="13" t="s">
        <v>91</v>
      </c>
      <c r="C9" s="14">
        <f>4121829.2</f>
        <v>4121829.2</v>
      </c>
      <c r="D9" s="15">
        <f>4061395.42</f>
        <v>4061395.42</v>
      </c>
    </row>
    <row r="10" spans="1:4">
      <c r="A10" s="16" t="s">
        <v>92</v>
      </c>
      <c r="B10" s="17" t="s">
        <v>93</v>
      </c>
      <c r="C10" s="18">
        <f>2425195.7296467</f>
        <v>2425195.7296467</v>
      </c>
      <c r="D10" s="19">
        <f>_120h_E12</f>
        <v>2425195.7296467</v>
      </c>
    </row>
    <row r="11" spans="1:4" ht="17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 ht="17.25" customHeight="1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6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456757.95</v>
      </c>
      <c r="D15" s="15">
        <f>SUM(D16:D24)</f>
        <v>274885.86</v>
      </c>
    </row>
    <row r="16" spans="1:4">
      <c r="A16" s="22" t="s">
        <v>103</v>
      </c>
      <c r="B16" s="17" t="s">
        <v>104</v>
      </c>
      <c r="C16" s="111">
        <v>334696.56</v>
      </c>
      <c r="D16" s="113">
        <v>127685.13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99134.69</f>
        <v>99134.69</v>
      </c>
      <c r="D18" s="19">
        <f>124273.14</f>
        <v>124273.14</v>
      </c>
    </row>
    <row r="19" spans="1:4">
      <c r="A19" s="22" t="s">
        <v>109</v>
      </c>
      <c r="B19" s="17" t="s">
        <v>110</v>
      </c>
      <c r="C19" s="18">
        <f>9916.02</f>
        <v>9916.02</v>
      </c>
      <c r="D19" s="19">
        <f>9922.68</f>
        <v>9922.68</v>
      </c>
    </row>
    <row r="20" spans="1:4">
      <c r="A20" s="22" t="s">
        <v>111</v>
      </c>
      <c r="B20" s="17" t="s">
        <v>112</v>
      </c>
      <c r="C20" s="18">
        <f>13010.68</f>
        <v>13010.68</v>
      </c>
      <c r="D20" s="19">
        <f>13004.91</f>
        <v>13004.91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1049908.5299999998</v>
      </c>
      <c r="D25" s="15">
        <f>D26+D27+D30+D28+D29+D31</f>
        <v>1196180.24</v>
      </c>
    </row>
    <row r="26" spans="1:4" ht="20.25" customHeight="1">
      <c r="A26" s="24" t="s">
        <v>123</v>
      </c>
      <c r="B26" s="20" t="s">
        <v>124</v>
      </c>
      <c r="C26" s="18">
        <f>567150.48</f>
        <v>567150.48</v>
      </c>
      <c r="D26" s="19">
        <f>567150.48</f>
        <v>567150.48</v>
      </c>
    </row>
    <row r="27" spans="1:4" ht="31.5" customHeight="1">
      <c r="A27" s="24" t="s">
        <v>125</v>
      </c>
      <c r="B27" s="20" t="s">
        <v>126</v>
      </c>
      <c r="C27" s="18">
        <f>67016.52</f>
        <v>67016.52</v>
      </c>
      <c r="D27" s="19">
        <f>67062.49</f>
        <v>67062.490000000005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66394.68</f>
        <v>66394.679999999993</v>
      </c>
      <c r="D29" s="19">
        <f>65814.25</f>
        <v>65814.25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349346.85</v>
      </c>
      <c r="D31" s="15">
        <f>SUM(D32:D39)</f>
        <v>496153.02</v>
      </c>
    </row>
    <row r="32" spans="1:4" ht="20.25" customHeight="1">
      <c r="A32" s="24" t="s">
        <v>135</v>
      </c>
      <c r="B32" s="17" t="s">
        <v>136</v>
      </c>
      <c r="C32" s="18">
        <f>99552.09</f>
        <v>99552.09</v>
      </c>
      <c r="D32" s="19">
        <f>99552.14</f>
        <v>99552.14</v>
      </c>
    </row>
    <row r="33" spans="1:4">
      <c r="A33" s="24" t="s">
        <v>137</v>
      </c>
      <c r="B33" s="17" t="s">
        <v>138</v>
      </c>
      <c r="C33" s="18">
        <f>90948.72</f>
        <v>90948.72</v>
      </c>
      <c r="D33" s="19">
        <f>86259.44</f>
        <v>86259.44</v>
      </c>
    </row>
    <row r="34" spans="1:4">
      <c r="A34" s="24" t="s">
        <v>139</v>
      </c>
      <c r="B34" s="17" t="s">
        <v>140</v>
      </c>
      <c r="C34" s="18">
        <f>158846.04</f>
        <v>158846.04</v>
      </c>
      <c r="D34" s="19">
        <f>159527.05</f>
        <v>159527.04999999999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6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471</v>
      </c>
      <c r="B39" s="17" t="s">
        <v>150</v>
      </c>
      <c r="C39" s="18"/>
      <c r="D39" s="19">
        <f>150814.39</f>
        <v>150814.39000000001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 ht="18" customHeight="1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47229.159999999996</v>
      </c>
      <c r="D45" s="27">
        <f>SUM(D46:D48)</f>
        <v>51379.46</v>
      </c>
    </row>
    <row r="46" spans="1:4">
      <c r="A46" s="21" t="s">
        <v>163</v>
      </c>
      <c r="B46" s="17" t="s">
        <v>164</v>
      </c>
      <c r="C46" s="18">
        <f>38475.84</f>
        <v>38475.839999999997</v>
      </c>
      <c r="D46" s="19">
        <f>42626.14</f>
        <v>42626.14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8753.32</f>
        <v>8753.32</v>
      </c>
      <c r="D48" s="19">
        <f>8753.32</f>
        <v>8753.32</v>
      </c>
    </row>
    <row r="49" spans="1:4">
      <c r="A49" s="8" t="s">
        <v>440</v>
      </c>
      <c r="B49" s="28" t="s">
        <v>168</v>
      </c>
      <c r="C49" s="29">
        <f>448814.76</f>
        <v>448814.76</v>
      </c>
      <c r="D49" s="30">
        <f>540698.62</f>
        <v>540698.62</v>
      </c>
    </row>
    <row r="50" spans="1:4">
      <c r="A50" s="8" t="s">
        <v>169</v>
      </c>
      <c r="B50" s="9" t="s">
        <v>170</v>
      </c>
      <c r="C50" s="14">
        <f>C8+C25+C40+C41+C42+C43+C44+C45+C49+C51+C52</f>
        <v>6124539.5999999996</v>
      </c>
      <c r="D50" s="15">
        <f>D8+D25+D40+D41+D42+D43+D44+D45+D49+D51+D52</f>
        <v>6124539.6000000006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3484423.02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3410168.46</f>
        <v>3410168.46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74254.56</f>
        <v>74254.559999999998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1872234</f>
        <v>1872234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5356657.0199999996</v>
      </c>
      <c r="D59" s="27">
        <f>D54+D57+D58</f>
        <v>0</v>
      </c>
    </row>
    <row r="60" spans="1:4" ht="25.5">
      <c r="A60" s="33" t="s">
        <v>188</v>
      </c>
      <c r="B60" s="9"/>
      <c r="C60" s="34">
        <v>22734</v>
      </c>
      <c r="D60" s="35">
        <v>22734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7" sqref="D47"/>
    </sheetView>
  </sheetViews>
  <sheetFormatPr defaultColWidth="11.7109375" defaultRowHeight="15"/>
  <cols>
    <col min="1" max="1" width="59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461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3785218.19</v>
      </c>
      <c r="D8" s="11">
        <f>D9+D11+D14+D15</f>
        <v>3674298.08</v>
      </c>
    </row>
    <row r="9" spans="1:4" ht="30">
      <c r="A9" s="12" t="s">
        <v>90</v>
      </c>
      <c r="B9" s="13" t="s">
        <v>91</v>
      </c>
      <c r="C9" s="14">
        <f>3305742.69</f>
        <v>3305742.69</v>
      </c>
      <c r="D9" s="15">
        <f>3225608.4</f>
        <v>3225608.4</v>
      </c>
    </row>
    <row r="10" spans="1:4">
      <c r="A10" s="16" t="s">
        <v>92</v>
      </c>
      <c r="B10" s="17" t="s">
        <v>93</v>
      </c>
      <c r="C10" s="18">
        <f>2153626.33640553</f>
        <v>2153626.3364055301</v>
      </c>
      <c r="D10" s="19">
        <f>_121h_E12</f>
        <v>2153626.3364055301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479475.5</v>
      </c>
      <c r="D15" s="15">
        <f>SUM(D16:D24)</f>
        <v>448689.67999999993</v>
      </c>
    </row>
    <row r="16" spans="1:4">
      <c r="A16" s="22" t="s">
        <v>103</v>
      </c>
      <c r="B16" s="17" t="s">
        <v>104</v>
      </c>
      <c r="C16" s="111">
        <v>310932.36</v>
      </c>
      <c r="D16" s="113">
        <v>256818.79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91991.4</f>
        <v>91991.4</v>
      </c>
      <c r="D18" s="19">
        <f>115318.33</f>
        <v>115318.33</v>
      </c>
    </row>
    <row r="19" spans="1:4">
      <c r="A19" s="22" t="s">
        <v>109</v>
      </c>
      <c r="B19" s="17" t="s">
        <v>110</v>
      </c>
      <c r="C19" s="18">
        <f>9043.08</f>
        <v>9043.08</v>
      </c>
      <c r="D19" s="19">
        <f>9049.16</f>
        <v>9049.16</v>
      </c>
    </row>
    <row r="20" spans="1:4">
      <c r="A20" s="22" t="s">
        <v>111</v>
      </c>
      <c r="B20" s="17" t="s">
        <v>112</v>
      </c>
      <c r="C20" s="18">
        <f>11976</f>
        <v>11976</v>
      </c>
      <c r="D20" s="19">
        <f>11970.74</f>
        <v>11970.74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55532.66</f>
        <v>55532.66</v>
      </c>
      <c r="D22" s="19">
        <f>55532.66</f>
        <v>55532.66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1481415.2000000002</v>
      </c>
      <c r="D25" s="15">
        <f>D26+D27+D30+D28+D29+D31</f>
        <v>929816.93</v>
      </c>
    </row>
    <row r="26" spans="1:4">
      <c r="A26" s="24" t="s">
        <v>123</v>
      </c>
      <c r="B26" s="20" t="s">
        <v>124</v>
      </c>
      <c r="C26" s="18">
        <f>523523.52</f>
        <v>523523.52</v>
      </c>
      <c r="D26" s="19">
        <f>523523.52</f>
        <v>523523.52</v>
      </c>
    </row>
    <row r="27" spans="1:4" ht="45">
      <c r="A27" s="24" t="s">
        <v>125</v>
      </c>
      <c r="B27" s="20" t="s">
        <v>126</v>
      </c>
      <c r="C27" s="18">
        <f>61660.92</f>
        <v>61660.92</v>
      </c>
      <c r="D27" s="19">
        <f>61836.27</f>
        <v>61836.27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62309.76</f>
        <v>62309.760000000002</v>
      </c>
      <c r="D29" s="19">
        <f>61765.08</f>
        <v>61765.08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833921</v>
      </c>
      <c r="D31" s="15">
        <f>SUM(D32:D39)</f>
        <v>282692.06000000006</v>
      </c>
    </row>
    <row r="32" spans="1:4" ht="18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83680.68</f>
        <v>83680.679999999993</v>
      </c>
      <c r="D33" s="19">
        <f>25348.94</f>
        <v>25348.94</v>
      </c>
    </row>
    <row r="34" spans="1:4">
      <c r="A34" s="24" t="s">
        <v>139</v>
      </c>
      <c r="B34" s="17" t="s">
        <v>140</v>
      </c>
      <c r="C34" s="18">
        <f>33430.44</f>
        <v>33430.44</v>
      </c>
      <c r="D34" s="19">
        <f>33448.19</f>
        <v>33448.19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508</v>
      </c>
      <c r="B39" s="17" t="s">
        <v>150</v>
      </c>
      <c r="C39" s="18">
        <f>624915.65</f>
        <v>624915.65</v>
      </c>
      <c r="D39" s="19">
        <v>132000.66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22465.67</f>
        <v>22465.67</v>
      </c>
      <c r="D42" s="27">
        <f>22465.67</f>
        <v>22465.67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37429.32</v>
      </c>
      <c r="D45" s="27">
        <f>SUM(D46:D48)</f>
        <v>581428.39999999991</v>
      </c>
    </row>
    <row r="46" spans="1:4">
      <c r="A46" s="21" t="s">
        <v>163</v>
      </c>
      <c r="B46" s="17" t="s">
        <v>164</v>
      </c>
      <c r="C46" s="18">
        <f>36108.6</f>
        <v>36108.6</v>
      </c>
      <c r="D46" s="19">
        <f>40003.56</f>
        <v>40003.56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540104.12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421201.44</f>
        <v>421201.44</v>
      </c>
      <c r="D49" s="30">
        <f>539720.74</f>
        <v>539720.74</v>
      </c>
    </row>
    <row r="50" spans="1:4">
      <c r="A50" s="8" t="s">
        <v>169</v>
      </c>
      <c r="B50" s="9" t="s">
        <v>170</v>
      </c>
      <c r="C50" s="14">
        <f>C8+C25+C40+C41+C42+C43+C44+C45+C49+C51+C52</f>
        <v>5747729.8200000012</v>
      </c>
      <c r="D50" s="15">
        <f>D8+D25+D40+D41+D42+D43+D44+D45+D49+D51+D52</f>
        <v>5747729.8200000003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3369286.2600000002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3283350.66</f>
        <v>3283350.66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85935.6</f>
        <v>85935.6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1815756</f>
        <v>1815756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5185042.26</v>
      </c>
      <c r="D59" s="27">
        <f>D54+D57+D58</f>
        <v>0</v>
      </c>
    </row>
    <row r="60" spans="1:4" ht="25.5">
      <c r="A60" s="33" t="s">
        <v>188</v>
      </c>
      <c r="B60" s="9"/>
      <c r="C60" s="34">
        <v>21335.3</v>
      </c>
      <c r="D60" s="35">
        <v>21335.3</v>
      </c>
    </row>
    <row r="61" spans="1:4" ht="15.75" thickBot="1">
      <c r="A61" s="36" t="s">
        <v>189</v>
      </c>
      <c r="B61" s="37"/>
      <c r="C61" s="38">
        <f>(C50+C51+C52)/C60/12</f>
        <v>22.450000000000006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39" sqref="D39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411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2538878.9000000004</v>
      </c>
      <c r="D8" s="11">
        <f>D9+D11+D14+D15</f>
        <v>2419152.41</v>
      </c>
    </row>
    <row r="9" spans="1:4" ht="30">
      <c r="A9" s="12" t="s">
        <v>90</v>
      </c>
      <c r="B9" s="13" t="s">
        <v>91</v>
      </c>
      <c r="C9" s="14">
        <f>2161364.74</f>
        <v>2161364.7400000002</v>
      </c>
      <c r="D9" s="15">
        <v>2136969.77</v>
      </c>
    </row>
    <row r="10" spans="1:4">
      <c r="A10" s="16" t="s">
        <v>92</v>
      </c>
      <c r="B10" s="17" t="s">
        <v>93</v>
      </c>
      <c r="C10" s="18">
        <f>1363898.78648234</f>
        <v>1363898.78648234</v>
      </c>
      <c r="D10" s="19">
        <f>_122h_E12</f>
        <v>1363898.78648234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377514.16</v>
      </c>
      <c r="D15" s="15">
        <f>SUM(D16:D24)</f>
        <v>282182.64</v>
      </c>
    </row>
    <row r="16" spans="1:4">
      <c r="A16" s="22" t="s">
        <v>103</v>
      </c>
      <c r="B16" s="17" t="s">
        <v>104</v>
      </c>
      <c r="C16" s="111">
        <v>276373.92</v>
      </c>
      <c r="D16" s="113">
        <v>167161.42000000001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54729.12</f>
        <v>54729.120000000003</v>
      </c>
      <c r="D18" s="19">
        <f>68607.16</f>
        <v>68607.16</v>
      </c>
    </row>
    <row r="19" spans="1:4">
      <c r="A19" s="22" t="s">
        <v>109</v>
      </c>
      <c r="B19" s="17" t="s">
        <v>110</v>
      </c>
      <c r="C19" s="18">
        <f>7991.4</f>
        <v>7991.4</v>
      </c>
      <c r="D19" s="19">
        <f>7996.78</f>
        <v>7996.78</v>
      </c>
    </row>
    <row r="20" spans="1:4">
      <c r="A20" s="22" t="s">
        <v>111</v>
      </c>
      <c r="B20" s="17" t="s">
        <v>112</v>
      </c>
      <c r="C20" s="18">
        <f>5511.48</f>
        <v>5511.48</v>
      </c>
      <c r="D20" s="19">
        <f>5509.04</f>
        <v>5509.04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 ht="16.5" customHeight="1">
      <c r="A22" s="22" t="s">
        <v>115</v>
      </c>
      <c r="B22" s="17" t="s">
        <v>116</v>
      </c>
      <c r="C22" s="18">
        <f>32908.24</f>
        <v>32908.239999999998</v>
      </c>
      <c r="D22" s="19">
        <f>32908.24</f>
        <v>32908.239999999998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5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1522949.06</v>
      </c>
      <c r="D25" s="15">
        <f>D26+D27+D30+D28+D29+D31</f>
        <v>1133818.26</v>
      </c>
    </row>
    <row r="26" spans="1:4" ht="18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45">
      <c r="A27" s="24" t="s">
        <v>125</v>
      </c>
      <c r="B27" s="20" t="s">
        <v>126</v>
      </c>
      <c r="C27" s="18">
        <f>37054.56</f>
        <v>37054.559999999998</v>
      </c>
      <c r="D27" s="19">
        <f>37153.54</f>
        <v>37153.54</v>
      </c>
    </row>
    <row r="28" spans="1:4" ht="30.7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47884.56</f>
        <v>47884.56</v>
      </c>
      <c r="D29" s="19">
        <f>47466</f>
        <v>47466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576178.58000000007</v>
      </c>
      <c r="D31" s="15">
        <f>SUM(D32:D39)</f>
        <v>187367.36000000002</v>
      </c>
    </row>
    <row r="32" spans="1:4" ht="19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50286.96</f>
        <v>50286.96</v>
      </c>
      <c r="D33" s="19">
        <f>44953.5</f>
        <v>44953.5</v>
      </c>
    </row>
    <row r="34" spans="1:4">
      <c r="A34" s="24" t="s">
        <v>139</v>
      </c>
      <c r="B34" s="17" t="s">
        <v>140</v>
      </c>
      <c r="C34" s="18">
        <f>91575</f>
        <v>91575</v>
      </c>
      <c r="D34" s="19">
        <f>90180.05</f>
        <v>90180.05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476</v>
      </c>
      <c r="B39" s="17" t="s">
        <v>150</v>
      </c>
      <c r="C39" s="18">
        <v>403685.21</v>
      </c>
      <c r="D39" s="19">
        <v>21602.400000000001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 ht="18.75" customHeight="1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31564.639999999999</v>
      </c>
      <c r="D45" s="27">
        <f>SUM(D46:D48)</f>
        <v>449340.82999999996</v>
      </c>
    </row>
    <row r="46" spans="1:4">
      <c r="A46" s="21" t="s">
        <v>163</v>
      </c>
      <c r="B46" s="17" t="s">
        <v>164</v>
      </c>
      <c r="C46" s="18">
        <f>27749.16</f>
        <v>27749.16</v>
      </c>
      <c r="D46" s="19">
        <f>30742.41</f>
        <v>30742.41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414782.94</v>
      </c>
    </row>
    <row r="48" spans="1:4">
      <c r="A48" s="21" t="s">
        <v>166</v>
      </c>
      <c r="B48" s="17" t="s">
        <v>167</v>
      </c>
      <c r="C48" s="18">
        <v>3815.48</v>
      </c>
      <c r="D48" s="19">
        <v>3815.48</v>
      </c>
    </row>
    <row r="49" spans="1:4">
      <c r="A49" s="8" t="s">
        <v>440</v>
      </c>
      <c r="B49" s="28" t="s">
        <v>168</v>
      </c>
      <c r="C49" s="29">
        <f>323689.8</f>
        <v>323689.8</v>
      </c>
      <c r="D49" s="30">
        <f>414770.9</f>
        <v>414770.9</v>
      </c>
    </row>
    <row r="50" spans="1:4">
      <c r="A50" s="8" t="s">
        <v>169</v>
      </c>
      <c r="B50" s="9" t="s">
        <v>170</v>
      </c>
      <c r="C50" s="14">
        <f>C8+C25+C40+C41+C42+C43+C44+C45+C49+C51+C52</f>
        <v>4417082.4000000004</v>
      </c>
      <c r="D50" s="15">
        <f>D8+D25+D40+D41+D42+D43+D44+D45+D49+D51+D52</f>
        <v>4417082.4000000004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2737837.1399999997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2586101.82</f>
        <v>2586101.8199999998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151735.32</f>
        <v>151735.32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1413864</f>
        <v>1413864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4151701.1399999997</v>
      </c>
      <c r="D59" s="27">
        <f>D54+D57+D58</f>
        <v>0</v>
      </c>
    </row>
    <row r="60" spans="1:4" ht="25.5">
      <c r="A60" s="33" t="s">
        <v>188</v>
      </c>
      <c r="B60" s="9"/>
      <c r="C60" s="34">
        <v>16396</v>
      </c>
      <c r="D60" s="35">
        <v>16396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D261"/>
  <sheetViews>
    <sheetView topLeftCell="A25" workbookViewId="0">
      <selection activeCell="D9" sqref="D9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413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2549553.59</v>
      </c>
      <c r="D8" s="11">
        <f>D9+D11+D14+D15</f>
        <v>2453210.25</v>
      </c>
    </row>
    <row r="9" spans="1:4" ht="30">
      <c r="A9" s="12" t="s">
        <v>90</v>
      </c>
      <c r="B9" s="13" t="s">
        <v>91</v>
      </c>
      <c r="C9" s="14">
        <f>2171342.5</f>
        <v>2171342.5</v>
      </c>
      <c r="D9" s="15">
        <f>2133362.95</f>
        <v>2133362.9500000002</v>
      </c>
    </row>
    <row r="10" spans="1:4">
      <c r="A10" s="16" t="s">
        <v>92</v>
      </c>
      <c r="B10" s="17" t="s">
        <v>93</v>
      </c>
      <c r="C10" s="18">
        <f>1371851.32104455</f>
        <v>1371851.32104455</v>
      </c>
      <c r="D10" s="19">
        <f>_123h_E12</f>
        <v>1371851.32104455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378211.09</v>
      </c>
      <c r="D15" s="15">
        <f>SUM(D16:D24)</f>
        <v>319847.3</v>
      </c>
    </row>
    <row r="16" spans="1:4">
      <c r="A16" s="22" t="s">
        <v>103</v>
      </c>
      <c r="B16" s="17" t="s">
        <v>104</v>
      </c>
      <c r="C16" s="111">
        <v>279489.84000000003</v>
      </c>
      <c r="D16" s="113">
        <v>207858.49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52310.13</f>
        <v>52310.13</v>
      </c>
      <c r="D18" s="19">
        <f>65574.75</f>
        <v>65574.75</v>
      </c>
    </row>
    <row r="19" spans="1:4">
      <c r="A19" s="22" t="s">
        <v>109</v>
      </c>
      <c r="B19" s="17" t="s">
        <v>110</v>
      </c>
      <c r="C19" s="18">
        <f>7991.4</f>
        <v>7991.4</v>
      </c>
      <c r="D19" s="19">
        <f>7996.78</f>
        <v>7996.78</v>
      </c>
    </row>
    <row r="20" spans="1:4">
      <c r="A20" s="22" t="s">
        <v>111</v>
      </c>
      <c r="B20" s="17" t="s">
        <v>112</v>
      </c>
      <c r="C20" s="18">
        <f>5511.48</f>
        <v>5511.48</v>
      </c>
      <c r="D20" s="19">
        <f>5509.04</f>
        <v>5509.04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32908.24</f>
        <v>32908.239999999998</v>
      </c>
      <c r="D22" s="19">
        <f>32908.24</f>
        <v>32908.239999999998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1507494.95</v>
      </c>
      <c r="D25" s="15">
        <f>D26+D27+D30+D28+D29+D31</f>
        <v>1509855.7200000002</v>
      </c>
    </row>
    <row r="26" spans="1:4" ht="18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45">
      <c r="A27" s="24" t="s">
        <v>125</v>
      </c>
      <c r="B27" s="20" t="s">
        <v>126</v>
      </c>
      <c r="C27" s="18">
        <f>37054.56</f>
        <v>37054.559999999998</v>
      </c>
      <c r="D27" s="19">
        <f>37153.54</f>
        <v>37153.54</v>
      </c>
    </row>
    <row r="28" spans="1:4" ht="29.2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47837.88</f>
        <v>47837.88</v>
      </c>
      <c r="D29" s="19">
        <f>47419.65</f>
        <v>47419.65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560771.15</v>
      </c>
      <c r="D31" s="15">
        <f>SUM(D32:D39)</f>
        <v>563451.17000000004</v>
      </c>
    </row>
    <row r="32" spans="1:4" ht="13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50286.96</f>
        <v>50286.96</v>
      </c>
      <c r="D33" s="19">
        <f>44585.18</f>
        <v>44585.18</v>
      </c>
    </row>
    <row r="34" spans="1:4">
      <c r="A34" s="24" t="s">
        <v>139</v>
      </c>
      <c r="B34" s="17" t="s">
        <v>140</v>
      </c>
      <c r="C34" s="18">
        <f>91575</f>
        <v>91575</v>
      </c>
      <c r="D34" s="19">
        <f>90180.1</f>
        <v>90180.1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470</v>
      </c>
      <c r="B39" s="17" t="s">
        <v>150</v>
      </c>
      <c r="C39" s="18">
        <f>244277.78</f>
        <v>244277.78</v>
      </c>
      <c r="D39" s="19">
        <f>254054.48</f>
        <v>254054.48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32349.620000000003</v>
      </c>
      <c r="D45" s="27">
        <f>SUM(D46:D48)</f>
        <v>35339.949999999997</v>
      </c>
    </row>
    <row r="46" spans="1:4">
      <c r="A46" s="21" t="s">
        <v>163</v>
      </c>
      <c r="B46" s="17" t="s">
        <v>164</v>
      </c>
      <c r="C46" s="18">
        <f>27722.04</f>
        <v>27722.04</v>
      </c>
      <c r="D46" s="19">
        <f>30712.37</f>
        <v>30712.37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4627.58</f>
        <v>4627.58</v>
      </c>
      <c r="D48" s="19">
        <f>4627.58</f>
        <v>4627.58</v>
      </c>
    </row>
    <row r="49" spans="1:4">
      <c r="A49" s="8" t="s">
        <v>440</v>
      </c>
      <c r="B49" s="28" t="s">
        <v>168</v>
      </c>
      <c r="C49" s="29">
        <f>323373.84</f>
        <v>323373.84000000003</v>
      </c>
      <c r="D49" s="30">
        <f>414366.08</f>
        <v>414366.08</v>
      </c>
    </row>
    <row r="50" spans="1:4">
      <c r="A50" s="8" t="s">
        <v>169</v>
      </c>
      <c r="B50" s="9" t="s">
        <v>170</v>
      </c>
      <c r="C50" s="14">
        <f>C8+C25+C40+C41+C42+C43+C44+C45+C49+C51+C52</f>
        <v>4412772</v>
      </c>
      <c r="D50" s="15">
        <f>D8+D25+D40+D41+D42+D43+D44+D45+D49+D51+D52</f>
        <v>4412772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2620257.7800000003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2471549.7</f>
        <v>2471549.7000000002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148708.08</f>
        <v>148708.07999999999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1332432</f>
        <v>1332432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3952689.7800000003</v>
      </c>
      <c r="D59" s="27">
        <f>D54+D57+D58</f>
        <v>0</v>
      </c>
    </row>
    <row r="60" spans="1:4" ht="25.5">
      <c r="A60" s="33" t="s">
        <v>188</v>
      </c>
      <c r="B60" s="9"/>
      <c r="C60" s="34">
        <v>16380</v>
      </c>
      <c r="D60" s="35">
        <v>16380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F39" sqref="F39"/>
    </sheetView>
  </sheetViews>
  <sheetFormatPr defaultColWidth="11.7109375" defaultRowHeight="15"/>
  <cols>
    <col min="1" max="1" width="58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415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2346628.89</v>
      </c>
      <c r="D8" s="11">
        <f>D9+D11+D14+D15</f>
        <v>2452211.17</v>
      </c>
    </row>
    <row r="9" spans="1:4" ht="30">
      <c r="A9" s="12" t="s">
        <v>90</v>
      </c>
      <c r="B9" s="13" t="s">
        <v>91</v>
      </c>
      <c r="C9" s="14">
        <f>2279157.74</f>
        <v>2279157.7400000002</v>
      </c>
      <c r="D9" s="15">
        <v>2243660.69</v>
      </c>
    </row>
    <row r="10" spans="1:4">
      <c r="A10" s="16" t="s">
        <v>92</v>
      </c>
      <c r="B10" s="17" t="s">
        <v>93</v>
      </c>
      <c r="C10" s="18">
        <f>1491021.95084485</f>
        <v>1491021.9508448499</v>
      </c>
      <c r="D10" s="19">
        <f>_124h_E12</f>
        <v>1491021.9508448499</v>
      </c>
    </row>
    <row r="11" spans="1:4" ht="23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67471.149999999994</v>
      </c>
      <c r="D15" s="15">
        <f>SUM(D16:D24)</f>
        <v>208550.47999999998</v>
      </c>
    </row>
    <row r="16" spans="1:4">
      <c r="A16" s="22" t="s">
        <v>103</v>
      </c>
      <c r="B16" s="17" t="s">
        <v>104</v>
      </c>
      <c r="C16" s="111">
        <v>38636.76</v>
      </c>
      <c r="D16" s="113">
        <v>182730.23999999999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19100.41</f>
        <v>19100.41</v>
      </c>
      <c r="D18" s="19">
        <f>16084.18</f>
        <v>16084.18</v>
      </c>
    </row>
    <row r="19" spans="1:4">
      <c r="A19" s="22" t="s">
        <v>109</v>
      </c>
      <c r="B19" s="17" t="s">
        <v>110</v>
      </c>
      <c r="C19" s="18">
        <f>5742.1</f>
        <v>5742.1</v>
      </c>
      <c r="D19" s="19">
        <f>5745.94</f>
        <v>5745.94</v>
      </c>
    </row>
    <row r="20" spans="1:4">
      <c r="A20" s="22" t="s">
        <v>111</v>
      </c>
      <c r="B20" s="17" t="s">
        <v>112</v>
      </c>
      <c r="C20" s="18">
        <f>3991.88</f>
        <v>3991.88</v>
      </c>
      <c r="D20" s="19">
        <f>3990.12</f>
        <v>3990.12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912481.13</v>
      </c>
      <c r="D25" s="15">
        <f>D26+D27+D30+D28+D29+D31</f>
        <v>860350.12</v>
      </c>
    </row>
    <row r="26" spans="1:4" ht="24" customHeight="1">
      <c r="A26" s="24" t="s">
        <v>123</v>
      </c>
      <c r="B26" s="20" t="s">
        <v>124</v>
      </c>
      <c r="C26" s="18">
        <f>401266.08</f>
        <v>401266.08</v>
      </c>
      <c r="D26" s="19">
        <f>364901.33</f>
        <v>364901.33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6.7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38042.4</f>
        <v>38042.400000000001</v>
      </c>
      <c r="D29" s="19">
        <f>37709.79</f>
        <v>37709.79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182369.09</v>
      </c>
      <c r="D31" s="15">
        <f>SUM(D32:D39)</f>
        <v>166973.39000000001</v>
      </c>
    </row>
    <row r="32" spans="1:4" ht="24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35161.27</f>
        <v>35161.269999999997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47654.32</f>
        <v>47654.32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0</v>
      </c>
      <c r="D39" s="19"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19912.3</v>
      </c>
      <c r="D45" s="27">
        <f>SUM(D46:D48)</f>
        <v>16420</v>
      </c>
    </row>
    <row r="46" spans="1:4">
      <c r="A46" s="21" t="s">
        <v>163</v>
      </c>
      <c r="B46" s="17" t="s">
        <v>164</v>
      </c>
      <c r="C46" s="18">
        <f>15431.88</f>
        <v>15431.88</v>
      </c>
      <c r="D46" s="19">
        <f>11939.58</f>
        <v>11939.58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4480.42</f>
        <v>4480.42</v>
      </c>
      <c r="D48" s="19">
        <f>4480.42</f>
        <v>4480.42</v>
      </c>
    </row>
    <row r="49" spans="1:4">
      <c r="A49" s="8" t="s">
        <v>440</v>
      </c>
      <c r="B49" s="28" t="s">
        <v>168</v>
      </c>
      <c r="C49" s="29">
        <f>230182.08</f>
        <v>230182.08</v>
      </c>
      <c r="D49" s="30">
        <f>200223.11</f>
        <v>200223.11</v>
      </c>
    </row>
    <row r="50" spans="1:4">
      <c r="A50" s="8" t="s">
        <v>169</v>
      </c>
      <c r="B50" s="9" t="s">
        <v>170</v>
      </c>
      <c r="C50" s="14">
        <f>C8+C25+C40+C41+C42+C43+C44+C45+C49+C51+C52</f>
        <v>3509204.4</v>
      </c>
      <c r="D50" s="15">
        <f>D8+D25+D40+D41+D42+D43+D44+D45+D49+D51+D52</f>
        <v>3529204.4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1980424.0799999998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1874837.16</f>
        <v>1874837.16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105586.92</f>
        <v>105586.92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969558</f>
        <v>969558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2949982.08</v>
      </c>
      <c r="D59" s="27">
        <f>D54+D57+D58</f>
        <v>0</v>
      </c>
    </row>
    <row r="60" spans="1:4" ht="25.5">
      <c r="A60" s="33" t="s">
        <v>188</v>
      </c>
      <c r="B60" s="9"/>
      <c r="C60" s="34">
        <v>13026</v>
      </c>
      <c r="D60" s="35">
        <v>13026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22.577949229745638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D16" sqref="D16:D17"/>
    </sheetView>
  </sheetViews>
  <sheetFormatPr defaultColWidth="11.7109375" defaultRowHeight="15"/>
  <cols>
    <col min="1" max="1" width="58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417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2403441.4</v>
      </c>
      <c r="D8" s="11">
        <f>D9+D11+D14+D15</f>
        <v>2475216.7000000002</v>
      </c>
    </row>
    <row r="9" spans="1:4" ht="30">
      <c r="A9" s="12" t="s">
        <v>90</v>
      </c>
      <c r="B9" s="13" t="s">
        <v>91</v>
      </c>
      <c r="C9" s="14">
        <f>2317258.14</f>
        <v>2317258.14</v>
      </c>
      <c r="D9" s="15">
        <f>2236306.87</f>
        <v>2236306.87</v>
      </c>
    </row>
    <row r="10" spans="1:4">
      <c r="A10" s="16" t="s">
        <v>92</v>
      </c>
      <c r="B10" s="17" t="s">
        <v>93</v>
      </c>
      <c r="C10" s="18">
        <f>1519049.9078341</f>
        <v>1519049.9078341001</v>
      </c>
      <c r="D10" s="19">
        <f>_125h_E12</f>
        <v>1519049.9078341001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86183.26</v>
      </c>
      <c r="D15" s="15">
        <f>SUM(D16:D24)</f>
        <v>238909.83</v>
      </c>
    </row>
    <row r="16" spans="1:4">
      <c r="A16" s="22" t="s">
        <v>103</v>
      </c>
      <c r="B16" s="17" t="s">
        <v>104</v>
      </c>
      <c r="C16" s="111">
        <v>47496.959999999999</v>
      </c>
      <c r="D16" s="113">
        <v>204412.32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26542.12</f>
        <v>26542.12</v>
      </c>
      <c r="D18" s="19">
        <f>22350.77</f>
        <v>22350.77</v>
      </c>
    </row>
    <row r="19" spans="1:4">
      <c r="A19" s="22" t="s">
        <v>109</v>
      </c>
      <c r="B19" s="17" t="s">
        <v>110</v>
      </c>
      <c r="C19" s="18">
        <f>7127.84</f>
        <v>7127.84</v>
      </c>
      <c r="D19" s="19">
        <f>7132.62</f>
        <v>7132.62</v>
      </c>
    </row>
    <row r="20" spans="1:4">
      <c r="A20" s="22" t="s">
        <v>111</v>
      </c>
      <c r="B20" s="17" t="s">
        <v>112</v>
      </c>
      <c r="C20" s="18">
        <f>5016.34</f>
        <v>5016.34</v>
      </c>
      <c r="D20" s="19">
        <f>5014.12</f>
        <v>5014.12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832409.0900000009</v>
      </c>
      <c r="D25" s="15">
        <f>D26+D27+D30+D28+D29+D31</f>
        <v>799275.74</v>
      </c>
    </row>
    <row r="26" spans="1:4" ht="25.5" customHeight="1">
      <c r="A26" s="24" t="s">
        <v>123</v>
      </c>
      <c r="B26" s="20" t="s">
        <v>124</v>
      </c>
      <c r="C26" s="18">
        <f>321012.96</f>
        <v>321012.96000000002</v>
      </c>
      <c r="D26" s="19">
        <f>300280.88</f>
        <v>300280.88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5.2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38223.48</f>
        <v>38223.480000000003</v>
      </c>
      <c r="D29" s="19">
        <f>37889.29</f>
        <v>37889.29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182369.09000000093</v>
      </c>
      <c r="D31" s="15">
        <f>SUM(D32:D39)</f>
        <v>170339.96</v>
      </c>
    </row>
    <row r="32" spans="1:4" ht="21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38527.84</f>
        <v>38527.839999999997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47654.32</f>
        <v>47654.32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9.31322574615478E-10</f>
        <v>9.31322574615478E-10</v>
      </c>
      <c r="D39" s="19">
        <f>0</f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31674.03</v>
      </c>
      <c r="D45" s="27">
        <f>SUM(D46:D48)</f>
        <v>26661.32</v>
      </c>
    </row>
    <row r="46" spans="1:4">
      <c r="A46" s="21" t="s">
        <v>163</v>
      </c>
      <c r="B46" s="17" t="s">
        <v>164</v>
      </c>
      <c r="C46" s="18">
        <f>22150.44</f>
        <v>22150.44</v>
      </c>
      <c r="D46" s="19">
        <f>17137.73</f>
        <v>17137.73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9523.59</f>
        <v>9523.59</v>
      </c>
      <c r="D48" s="19">
        <f>9523.59</f>
        <v>9523.59</v>
      </c>
    </row>
    <row r="49" spans="1:4">
      <c r="A49" s="8" t="s">
        <v>440</v>
      </c>
      <c r="B49" s="28" t="s">
        <v>168</v>
      </c>
      <c r="C49" s="29">
        <f>258382.68</f>
        <v>258382.68</v>
      </c>
      <c r="D49" s="30">
        <f>224753.44</f>
        <v>224753.44</v>
      </c>
    </row>
    <row r="50" spans="1:4">
      <c r="A50" s="8" t="s">
        <v>169</v>
      </c>
      <c r="B50" s="9" t="s">
        <v>170</v>
      </c>
      <c r="C50" s="14">
        <f>C8+C25+C40+C41+C42+C43+C44+C45+C49+C51+C52</f>
        <v>3525907.2000000007</v>
      </c>
      <c r="D50" s="15">
        <f>D8+D25+D40+D41+D42+D43+D44+D45+D49+D51+D52</f>
        <v>3525907.2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1903430.7599999998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1821068.88</f>
        <v>1821068.88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82361.88</f>
        <v>82361.88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930882</f>
        <v>930882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2834312.76</v>
      </c>
      <c r="D59" s="27">
        <f>D54+D57+D58</f>
        <v>0</v>
      </c>
    </row>
    <row r="60" spans="1:4" ht="25.5">
      <c r="A60" s="33" t="s">
        <v>188</v>
      </c>
      <c r="B60" s="9"/>
      <c r="C60" s="34">
        <v>13088</v>
      </c>
      <c r="D60" s="35">
        <v>13088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58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419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2263000.77</v>
      </c>
      <c r="D8" s="11">
        <f>D9+D11+D14+D15</f>
        <v>2364962.52</v>
      </c>
    </row>
    <row r="9" spans="1:4" ht="30">
      <c r="A9" s="12" t="s">
        <v>90</v>
      </c>
      <c r="B9" s="13" t="s">
        <v>91</v>
      </c>
      <c r="C9" s="14">
        <f>2194748.58</f>
        <v>2194748.58</v>
      </c>
      <c r="D9" s="15">
        <f>2099259.77</f>
        <v>2099259.77</v>
      </c>
    </row>
    <row r="10" spans="1:4">
      <c r="A10" s="16" t="s">
        <v>92</v>
      </c>
      <c r="B10" s="17" t="s">
        <v>93</v>
      </c>
      <c r="C10" s="18">
        <f>1423442.53456221</f>
        <v>1423442.5345622101</v>
      </c>
      <c r="D10" s="19">
        <f>_126h_E12</f>
        <v>1423442.5345622101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68252.19</v>
      </c>
      <c r="D15" s="15">
        <f>SUM(D16:D24)</f>
        <v>265702.75</v>
      </c>
    </row>
    <row r="16" spans="1:4">
      <c r="A16" s="22" t="s">
        <v>103</v>
      </c>
      <c r="B16" s="17" t="s">
        <v>104</v>
      </c>
      <c r="C16" s="111">
        <v>39498.6</v>
      </c>
      <c r="D16" s="113">
        <v>239949.22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19011.33</f>
        <v>19011.330000000002</v>
      </c>
      <c r="D18" s="19">
        <f>16009.19</f>
        <v>16009.19</v>
      </c>
    </row>
    <row r="19" spans="1:4">
      <c r="A19" s="22" t="s">
        <v>109</v>
      </c>
      <c r="B19" s="17" t="s">
        <v>110</v>
      </c>
      <c r="C19" s="18">
        <f>5746.9</f>
        <v>5746.9</v>
      </c>
      <c r="D19" s="19">
        <f>5750.74</f>
        <v>5750.74</v>
      </c>
    </row>
    <row r="20" spans="1:4">
      <c r="A20" s="22" t="s">
        <v>111</v>
      </c>
      <c r="B20" s="17" t="s">
        <v>112</v>
      </c>
      <c r="C20" s="18">
        <f>3995.36</f>
        <v>3995.36</v>
      </c>
      <c r="D20" s="19">
        <f>3993.6</f>
        <v>3993.6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1019847.6499999999</v>
      </c>
      <c r="D25" s="15">
        <f>D26+D27+D30+D28+D29+D31</f>
        <v>951096.46</v>
      </c>
    </row>
    <row r="26" spans="1:4" ht="25.5" customHeight="1">
      <c r="A26" s="24" t="s">
        <v>123</v>
      </c>
      <c r="B26" s="20" t="s">
        <v>124</v>
      </c>
      <c r="C26" s="18">
        <f>508229.64</f>
        <v>508229.64</v>
      </c>
      <c r="D26" s="19">
        <f>453700.84</f>
        <v>453700.84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6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38445.36</f>
        <v>38445.360000000001</v>
      </c>
      <c r="D29" s="19">
        <f>38109.17</f>
        <v>38109.17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182369.09</v>
      </c>
      <c r="D31" s="15">
        <f>SUM(D32:D39)</f>
        <v>168520.84</v>
      </c>
    </row>
    <row r="32" spans="1:4" ht="19.5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36708.72</f>
        <v>36708.720000000001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47654.32</f>
        <v>47654.32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/>
      <c r="D39" s="19">
        <f>0</f>
        <v>0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24206.98</v>
      </c>
      <c r="D45" s="27">
        <f>SUM(D46:D48)</f>
        <v>22145.43</v>
      </c>
    </row>
    <row r="46" spans="1:4">
      <c r="A46" s="21" t="s">
        <v>163</v>
      </c>
      <c r="B46" s="17" t="s">
        <v>164</v>
      </c>
      <c r="C46" s="18">
        <f>15595.32</f>
        <v>15595.32</v>
      </c>
      <c r="D46" s="19">
        <f>13533.77</f>
        <v>13533.77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8611.66</f>
        <v>8611.66</v>
      </c>
      <c r="D48" s="19">
        <f>8611.66</f>
        <v>8611.66</v>
      </c>
    </row>
    <row r="49" spans="1:4">
      <c r="A49" s="8" t="s">
        <v>440</v>
      </c>
      <c r="B49" s="28" t="s">
        <v>168</v>
      </c>
      <c r="C49" s="29">
        <f>239326.2</f>
        <v>239326.2</v>
      </c>
      <c r="D49" s="30">
        <f>208177.19</f>
        <v>208177.19</v>
      </c>
    </row>
    <row r="50" spans="1:4">
      <c r="A50" s="8" t="s">
        <v>169</v>
      </c>
      <c r="B50" s="9" t="s">
        <v>170</v>
      </c>
      <c r="C50" s="14">
        <f>C8+C25+C40+C41+C42+C43+C44+C45+C49+C51+C52</f>
        <v>3546381.6</v>
      </c>
      <c r="D50" s="15">
        <f>D8+D25+D40+D41+D42+D43+D44+D45+D49+D51+D52</f>
        <v>3546381.6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2037707.28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1910514.36</f>
        <v>1910514.36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127192.92</f>
        <v>127192.92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990750</f>
        <v>990750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3028457.2800000003</v>
      </c>
      <c r="D59" s="27">
        <f>D54+D57+D58</f>
        <v>0</v>
      </c>
    </row>
    <row r="60" spans="1:4" ht="25.5">
      <c r="A60" s="33" t="s">
        <v>188</v>
      </c>
      <c r="B60" s="9"/>
      <c r="C60" s="34">
        <v>13164</v>
      </c>
      <c r="D60" s="35">
        <v>13164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H13" sqref="H13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421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2279859.64</v>
      </c>
      <c r="D8" s="11">
        <f>D9+D11+D14+D15</f>
        <v>2324122.1</v>
      </c>
    </row>
    <row r="9" spans="1:4" ht="30">
      <c r="A9" s="12" t="s">
        <v>90</v>
      </c>
      <c r="B9" s="13" t="s">
        <v>91</v>
      </c>
      <c r="C9" s="14">
        <f>2193585.06</f>
        <v>2193585.06</v>
      </c>
      <c r="D9" s="15">
        <f>2133664.73</f>
        <v>2133664.73</v>
      </c>
    </row>
    <row r="10" spans="1:4">
      <c r="A10" s="16" t="s">
        <v>92</v>
      </c>
      <c r="B10" s="17" t="s">
        <v>93</v>
      </c>
      <c r="C10" s="18">
        <f>1426373.59447005</f>
        <v>1426373.59447005</v>
      </c>
      <c r="D10" s="19">
        <f>_127h_E12</f>
        <v>1426373.59447005</v>
      </c>
    </row>
    <row r="11" spans="1:4" ht="23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86274.579999999987</v>
      </c>
      <c r="D15" s="15">
        <f>SUM(D16:D24)</f>
        <v>190457.37</v>
      </c>
    </row>
    <row r="16" spans="1:4">
      <c r="A16" s="22" t="s">
        <v>103</v>
      </c>
      <c r="B16" s="17" t="s">
        <v>104</v>
      </c>
      <c r="C16" s="111">
        <v>40168.080000000002</v>
      </c>
      <c r="D16" s="113">
        <v>149711.39000000001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33962.32</f>
        <v>33962.32</v>
      </c>
      <c r="D18" s="19">
        <f>28599.24</f>
        <v>28599.24</v>
      </c>
    </row>
    <row r="19" spans="1:4">
      <c r="A19" s="22" t="s">
        <v>109</v>
      </c>
      <c r="B19" s="17" t="s">
        <v>110</v>
      </c>
      <c r="C19" s="18">
        <f>7127.84</f>
        <v>7127.84</v>
      </c>
      <c r="D19" s="19">
        <f>7132.62</f>
        <v>7132.62</v>
      </c>
    </row>
    <row r="20" spans="1:4">
      <c r="A20" s="22" t="s">
        <v>111</v>
      </c>
      <c r="B20" s="17" t="s">
        <v>112</v>
      </c>
      <c r="C20" s="18">
        <f>5016.34</f>
        <v>5016.34</v>
      </c>
      <c r="D20" s="19">
        <f>5014.12</f>
        <v>5014.12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942896.47999999335</v>
      </c>
      <c r="D25" s="15">
        <f>D26+D27+D30+D28+D29+D31</f>
        <v>935443.05999999994</v>
      </c>
    </row>
    <row r="26" spans="1:4" ht="21.75" customHeight="1">
      <c r="A26" s="24" t="s">
        <v>123</v>
      </c>
      <c r="B26" s="20" t="s">
        <v>124</v>
      </c>
      <c r="C26" s="18">
        <f>508187.4</f>
        <v>508187.4</v>
      </c>
      <c r="D26" s="19">
        <f>501834.89</f>
        <v>501834.89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6.7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37884.72</f>
        <v>37884.720000000001</v>
      </c>
      <c r="D29" s="19">
        <f>37553.48</f>
        <v>37553.480000000003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106020.79999999344</v>
      </c>
      <c r="D31" s="15">
        <f>SUM(D32:D39)</f>
        <v>105289.08</v>
      </c>
    </row>
    <row r="32" spans="1:4" ht="20.25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49976.96</f>
        <v>49976.959999999999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47654.32</f>
        <v>47654.32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151.709999993444</f>
        <v>151.709999993444</v>
      </c>
      <c r="D39" s="19">
        <f>0</f>
        <v>0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15808.08</v>
      </c>
      <c r="D45" s="27">
        <f>SUM(D46:D48)</f>
        <v>12330.26</v>
      </c>
    </row>
    <row r="46" spans="1:4">
      <c r="A46" s="21" t="s">
        <v>163</v>
      </c>
      <c r="B46" s="17" t="s">
        <v>164</v>
      </c>
      <c r="C46" s="18">
        <f>15367.92</f>
        <v>15367.92</v>
      </c>
      <c r="D46" s="19">
        <f>11890.1</f>
        <v>11890.1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256092.6</f>
        <v>256092.6</v>
      </c>
      <c r="D49" s="30">
        <f>222761.38</f>
        <v>222761.38</v>
      </c>
    </row>
    <row r="50" spans="1:4">
      <c r="A50" s="8" t="s">
        <v>169</v>
      </c>
      <c r="B50" s="9" t="s">
        <v>170</v>
      </c>
      <c r="C50" s="14">
        <f>C8+C25+C40+C41+C42+C43+C44+C45+C49+C51+C52</f>
        <v>3494656.7999999938</v>
      </c>
      <c r="D50" s="15">
        <f>D8+D25+D40+D41+D42+D43+D44+D45+D49+D51+D52</f>
        <v>3494656.8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1838663.52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1773168.48</f>
        <v>1773168.48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65495.04</f>
        <v>65495.040000000001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900696</f>
        <v>900696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2739359.52</v>
      </c>
      <c r="D59" s="27">
        <f>D54+D57+D58</f>
        <v>0</v>
      </c>
    </row>
    <row r="60" spans="1:4" ht="25.5">
      <c r="A60" s="33" t="s">
        <v>188</v>
      </c>
      <c r="B60" s="9"/>
      <c r="C60" s="34">
        <v>12972</v>
      </c>
      <c r="D60" s="35">
        <v>12972</v>
      </c>
    </row>
    <row r="61" spans="1:4" ht="15.75" thickBot="1">
      <c r="A61" s="36" t="s">
        <v>189</v>
      </c>
      <c r="B61" s="37"/>
      <c r="C61" s="38">
        <f>(C50+C51+C52)/C60/12</f>
        <v>22.44999999999996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.70866141732283472" right="0.70866141732283472" top="0.74803149606299213" bottom="0" header="0.31496062992125984" footer="0.31496062992125984"/>
  <pageSetup paperSize="9" scale="7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F14" sqref="F14"/>
    </sheetView>
  </sheetViews>
  <sheetFormatPr defaultColWidth="11.7109375" defaultRowHeight="15"/>
  <cols>
    <col min="1" max="1" width="56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423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2532940.1500000004</v>
      </c>
      <c r="D8" s="11">
        <f>D9+D11+D14+D15</f>
        <v>2533502.7000000002</v>
      </c>
    </row>
    <row r="9" spans="1:4" ht="30">
      <c r="A9" s="12" t="s">
        <v>90</v>
      </c>
      <c r="B9" s="13" t="s">
        <v>91</v>
      </c>
      <c r="C9" s="14">
        <f>2251494.97</f>
        <v>2251494.9700000002</v>
      </c>
      <c r="D9" s="15">
        <f>2204384.49</f>
        <v>2204384.4900000002</v>
      </c>
    </row>
    <row r="10" spans="1:4">
      <c r="A10" s="16" t="s">
        <v>92</v>
      </c>
      <c r="B10" s="17" t="s">
        <v>93</v>
      </c>
      <c r="C10" s="18">
        <f>1467962.86482335</f>
        <v>1467962.86482335</v>
      </c>
      <c r="D10" s="19">
        <f>_128h_E12</f>
        <v>1467962.86482335</v>
      </c>
    </row>
    <row r="11" spans="1:4" ht="24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2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281445.18</v>
      </c>
      <c r="D15" s="15">
        <f>SUM(D16:D24)</f>
        <v>329118.20999999996</v>
      </c>
    </row>
    <row r="16" spans="1:4">
      <c r="A16" s="22" t="s">
        <v>103</v>
      </c>
      <c r="B16" s="17" t="s">
        <v>104</v>
      </c>
      <c r="C16" s="111">
        <v>233447.55</v>
      </c>
      <c r="D16" s="113">
        <v>272028.62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35845.29</f>
        <v>35845.29</v>
      </c>
      <c r="D18" s="19">
        <f>44934.69</f>
        <v>44934.69</v>
      </c>
    </row>
    <row r="19" spans="1:4">
      <c r="A19" s="22" t="s">
        <v>109</v>
      </c>
      <c r="B19" s="17" t="s">
        <v>110</v>
      </c>
      <c r="C19" s="18">
        <f>7132.52</f>
        <v>7132.52</v>
      </c>
      <c r="D19" s="19">
        <f>7137.3</f>
        <v>7137.3</v>
      </c>
    </row>
    <row r="20" spans="1:4">
      <c r="A20" s="22" t="s">
        <v>111</v>
      </c>
      <c r="B20" s="17" t="s">
        <v>112</v>
      </c>
      <c r="C20" s="18">
        <f>5019.82</f>
        <v>5019.82</v>
      </c>
      <c r="D20" s="19">
        <f>5017.6</f>
        <v>5017.6000000000004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717999.52999999991</v>
      </c>
      <c r="D25" s="15">
        <f>D26+D27+D30+D28+D29+D31</f>
        <v>691452.9</v>
      </c>
    </row>
    <row r="26" spans="1:4" ht="21" customHeight="1">
      <c r="A26" s="24" t="s">
        <v>123</v>
      </c>
      <c r="B26" s="20" t="s">
        <v>124</v>
      </c>
      <c r="C26" s="18">
        <f>283018.8</f>
        <v>283018.8</v>
      </c>
      <c r="D26" s="19">
        <f>272405.62</f>
        <v>272405.62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1.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38308.08</f>
        <v>38308.080000000002</v>
      </c>
      <c r="D29" s="19">
        <f>34780.81</f>
        <v>34780.81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105869.09</v>
      </c>
      <c r="D31" s="15">
        <f>SUM(D32:D39)</f>
        <v>93500.86</v>
      </c>
    </row>
    <row r="32" spans="1:4" ht="20.25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38188.74</f>
        <v>38188.74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47654.32</f>
        <v>47654.32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0</f>
        <v>0</v>
      </c>
      <c r="D39" s="19">
        <f>0</f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22639.68</v>
      </c>
      <c r="D45" s="27">
        <f>SUM(D46:D48)</f>
        <v>25034.22</v>
      </c>
    </row>
    <row r="46" spans="1:4">
      <c r="A46" s="21" t="s">
        <v>163</v>
      </c>
      <c r="B46" s="17" t="s">
        <v>164</v>
      </c>
      <c r="C46" s="18">
        <f>22199.52</f>
        <v>22199.52</v>
      </c>
      <c r="D46" s="19">
        <f>24594.06</f>
        <v>24594.06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258955.08</f>
        <v>258955.08</v>
      </c>
      <c r="D49" s="30">
        <f>282544.62</f>
        <v>282544.62</v>
      </c>
    </row>
    <row r="50" spans="1:4">
      <c r="A50" s="8" t="s">
        <v>169</v>
      </c>
      <c r="B50" s="9" t="s">
        <v>170</v>
      </c>
      <c r="C50" s="14">
        <f>C8+C25+C40+C41+C42+C43+C44+C45+C49+C51+C52</f>
        <v>3532534.4400000004</v>
      </c>
      <c r="D50" s="15">
        <f>D8+D25+D40+D41+D42+D43+D44+D45+D49+D51+D52</f>
        <v>3532534.4400000004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1894862.94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1812589.26</f>
        <v>1812589.26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82273.68</f>
        <v>82273.679999999993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924408</f>
        <v>924408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2819270.94</v>
      </c>
      <c r="D59" s="27">
        <f>D54+D57+D58</f>
        <v>0</v>
      </c>
    </row>
    <row r="60" spans="1:4" ht="25.5">
      <c r="A60" s="33" t="s">
        <v>188</v>
      </c>
      <c r="B60" s="9"/>
      <c r="C60" s="34">
        <v>13112.6</v>
      </c>
      <c r="D60" s="35">
        <v>13112.6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D261"/>
  <sheetViews>
    <sheetView topLeftCell="A40" workbookViewId="0">
      <selection activeCell="G51" sqref="G51"/>
    </sheetView>
  </sheetViews>
  <sheetFormatPr defaultColWidth="11.7109375" defaultRowHeight="15"/>
  <cols>
    <col min="1" max="1" width="60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425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3564523.31</v>
      </c>
      <c r="D8" s="11">
        <f>D9+D11+D14+D15</f>
        <v>3427206.8899999997</v>
      </c>
    </row>
    <row r="9" spans="1:4" ht="30">
      <c r="A9" s="12" t="s">
        <v>90</v>
      </c>
      <c r="B9" s="13" t="s">
        <v>91</v>
      </c>
      <c r="C9" s="14">
        <f>3160218.16</f>
        <v>3160218.16</v>
      </c>
      <c r="D9" s="15">
        <v>3007664.59</v>
      </c>
    </row>
    <row r="10" spans="1:4">
      <c r="A10" s="16" t="s">
        <v>92</v>
      </c>
      <c r="B10" s="17" t="s">
        <v>93</v>
      </c>
      <c r="C10" s="18">
        <f>1909892.01228879</f>
        <v>1909892.01228879</v>
      </c>
      <c r="D10" s="19">
        <f>_129h_E12</f>
        <v>1909892.01228879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404305.15</v>
      </c>
      <c r="D15" s="15">
        <f>SUM(D16:D24)</f>
        <v>419542.30000000005</v>
      </c>
    </row>
    <row r="16" spans="1:4">
      <c r="A16" s="22" t="s">
        <v>103</v>
      </c>
      <c r="B16" s="17" t="s">
        <v>104</v>
      </c>
      <c r="C16" s="111">
        <v>259718.16</v>
      </c>
      <c r="D16" s="113">
        <v>254521.41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80579.88</f>
        <v>80579.88</v>
      </c>
      <c r="D18" s="19">
        <f>101013.12</f>
        <v>101013.12</v>
      </c>
    </row>
    <row r="19" spans="1:4">
      <c r="A19" s="22" t="s">
        <v>109</v>
      </c>
      <c r="B19" s="17" t="s">
        <v>110</v>
      </c>
      <c r="C19" s="18">
        <f>7594.55</f>
        <v>7594.55</v>
      </c>
      <c r="D19" s="19">
        <f>7599.65</f>
        <v>7599.65</v>
      </c>
    </row>
    <row r="20" spans="1:4">
      <c r="A20" s="22" t="s">
        <v>111</v>
      </c>
      <c r="B20" s="17" t="s">
        <v>112</v>
      </c>
      <c r="C20" s="18">
        <f>10135.34</f>
        <v>10135.34</v>
      </c>
      <c r="D20" s="19">
        <f>10130.9</f>
        <v>10130.9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46277.22</f>
        <v>46277.22</v>
      </c>
      <c r="D22" s="19">
        <f>46277.22</f>
        <v>46277.22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952061.05</v>
      </c>
      <c r="D25" s="15">
        <f>D26+D27+D30+D28+D29+D31</f>
        <v>984843.34000000102</v>
      </c>
    </row>
    <row r="26" spans="1:4" ht="23.25" customHeight="1">
      <c r="A26" s="24" t="s">
        <v>123</v>
      </c>
      <c r="B26" s="20" t="s">
        <v>124</v>
      </c>
      <c r="C26" s="18">
        <f>345659.76</f>
        <v>345659.76</v>
      </c>
      <c r="D26" s="19">
        <f>345659.76</f>
        <v>345659.76</v>
      </c>
    </row>
    <row r="27" spans="1:4" ht="31.5" customHeight="1">
      <c r="A27" s="24" t="s">
        <v>125</v>
      </c>
      <c r="B27" s="20" t="s">
        <v>126</v>
      </c>
      <c r="C27" s="18">
        <f>51094.68</f>
        <v>51094.68</v>
      </c>
      <c r="D27" s="19">
        <f>51064.42</f>
        <v>51064.42</v>
      </c>
    </row>
    <row r="28" spans="1:4" ht="36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53208.6</f>
        <v>53208.6</v>
      </c>
      <c r="D29" s="19">
        <f>52743.44</f>
        <v>52743.44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502098.01</v>
      </c>
      <c r="D31" s="15">
        <f>SUM(D32:D39)</f>
        <v>535375.72000000102</v>
      </c>
    </row>
    <row r="32" spans="1:4" ht="21.75" customHeight="1">
      <c r="A32" s="24" t="s">
        <v>135</v>
      </c>
      <c r="B32" s="17" t="s">
        <v>136</v>
      </c>
      <c r="C32" s="18">
        <f>76578.53</f>
        <v>76578.53</v>
      </c>
      <c r="D32" s="19">
        <f>76578.56</f>
        <v>76578.559999999998</v>
      </c>
    </row>
    <row r="33" spans="1:4">
      <c r="A33" s="24" t="s">
        <v>137</v>
      </c>
      <c r="B33" s="17" t="s">
        <v>138</v>
      </c>
      <c r="C33" s="18">
        <f>69340.92</f>
        <v>69340.92</v>
      </c>
      <c r="D33" s="19">
        <f>66658.58</f>
        <v>66658.58</v>
      </c>
    </row>
    <row r="34" spans="1:4">
      <c r="A34" s="24" t="s">
        <v>139</v>
      </c>
      <c r="B34" s="17" t="s">
        <v>140</v>
      </c>
      <c r="C34" s="18">
        <f>111520.44</f>
        <v>111520.44</v>
      </c>
      <c r="D34" s="19">
        <f>113075</f>
        <v>113075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469</v>
      </c>
      <c r="B39" s="17" t="s">
        <v>150</v>
      </c>
      <c r="C39" s="18">
        <f>244658.12</f>
        <v>244658.12</v>
      </c>
      <c r="D39" s="19">
        <v>279063.58000000101</v>
      </c>
    </row>
    <row r="40" spans="1:4" ht="24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 ht="23.25" customHeight="1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31935</v>
      </c>
      <c r="D45" s="27">
        <f>SUM(D46:D48)</f>
        <v>35261.039999999994</v>
      </c>
    </row>
    <row r="46" spans="1:4">
      <c r="A46" s="21" t="s">
        <v>163</v>
      </c>
      <c r="B46" s="17" t="s">
        <v>164</v>
      </c>
      <c r="C46" s="18">
        <f>30834.48</f>
        <v>30834.48</v>
      </c>
      <c r="D46" s="19">
        <f>34160.52</f>
        <v>34160.519999999997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1100.52</f>
        <v>1100.52</v>
      </c>
      <c r="D48" s="19">
        <f>1100.52</f>
        <v>1100.52</v>
      </c>
    </row>
    <row r="49" spans="1:4">
      <c r="A49" s="8" t="s">
        <v>440</v>
      </c>
      <c r="B49" s="28" t="s">
        <v>168</v>
      </c>
      <c r="C49" s="29">
        <f>359679.24</f>
        <v>359679.24</v>
      </c>
      <c r="D49" s="30">
        <f>460887.33</f>
        <v>460887.33</v>
      </c>
    </row>
    <row r="50" spans="1:4">
      <c r="A50" s="8" t="s">
        <v>169</v>
      </c>
      <c r="B50" s="9" t="s">
        <v>170</v>
      </c>
      <c r="C50" s="14">
        <f>C8+C25+C40+C41+C42+C43+C44+C45+C49+C51+C52</f>
        <v>4908198.6000000006</v>
      </c>
      <c r="D50" s="15">
        <f>D8+D25+D40+D41+D42+D43+D44+D45+D49+D51+D52</f>
        <v>4908198.6000000006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2837536.98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2797891.02</f>
        <v>2797891.02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39645.96</f>
        <v>39645.96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1538442</f>
        <v>1538442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4375978.9800000004</v>
      </c>
      <c r="D59" s="27">
        <f>D54+D57+D58</f>
        <v>0</v>
      </c>
    </row>
    <row r="60" spans="1:4" ht="25.5">
      <c r="A60" s="33" t="s">
        <v>188</v>
      </c>
      <c r="B60" s="9"/>
      <c r="C60" s="34">
        <v>18219</v>
      </c>
      <c r="D60" s="35">
        <v>18219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G44" sqref="G44"/>
    </sheetView>
  </sheetViews>
  <sheetFormatPr defaultColWidth="11.7109375" defaultRowHeight="15"/>
  <cols>
    <col min="1" max="1" width="57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212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5699333.0599999996</v>
      </c>
      <c r="D8" s="11">
        <f>D9+D11+D14+D15</f>
        <v>5421015.79</v>
      </c>
    </row>
    <row r="9" spans="1:4" ht="30">
      <c r="A9" s="12" t="s">
        <v>90</v>
      </c>
      <c r="B9" s="13" t="s">
        <v>91</v>
      </c>
      <c r="C9" s="14">
        <f>4992507.18</f>
        <v>4992507.18</v>
      </c>
      <c r="D9" s="15">
        <v>4877901.49</v>
      </c>
    </row>
    <row r="10" spans="1:4">
      <c r="A10" s="16" t="s">
        <v>92</v>
      </c>
      <c r="B10" s="17" t="s">
        <v>93</v>
      </c>
      <c r="C10" s="18">
        <f>3259442.90322581</f>
        <v>3259442.9032258098</v>
      </c>
      <c r="D10" s="19">
        <f>_13h_E12</f>
        <v>3259442.9032258098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706825.87999999989</v>
      </c>
      <c r="D15" s="15">
        <f>SUM(D16:D24)</f>
        <v>543114.30000000005</v>
      </c>
    </row>
    <row r="16" spans="1:4">
      <c r="A16" s="22" t="s">
        <v>103</v>
      </c>
      <c r="B16" s="17" t="s">
        <v>104</v>
      </c>
      <c r="C16" s="111">
        <v>454313.16</v>
      </c>
      <c r="D16" s="113">
        <v>255816.59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137172</f>
        <v>137172</v>
      </c>
      <c r="D18" s="19">
        <f>171955.71</f>
        <v>171955.71</v>
      </c>
    </row>
    <row r="19" spans="1:4">
      <c r="A19" s="22" t="s">
        <v>109</v>
      </c>
      <c r="B19" s="17" t="s">
        <v>110</v>
      </c>
      <c r="C19" s="18">
        <f>13816.6</f>
        <v>13816.6</v>
      </c>
      <c r="D19" s="19">
        <f>13825.88</f>
        <v>13825.88</v>
      </c>
    </row>
    <row r="20" spans="1:4">
      <c r="A20" s="22" t="s">
        <v>111</v>
      </c>
      <c r="B20" s="17" t="s">
        <v>112</v>
      </c>
      <c r="C20" s="18">
        <f>18225.12</f>
        <v>18225.12</v>
      </c>
      <c r="D20" s="19">
        <f>18217.12</f>
        <v>18217.12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83299</f>
        <v>83299</v>
      </c>
      <c r="D22" s="19">
        <f>83299</f>
        <v>83299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2071414.4200000069</v>
      </c>
      <c r="D25" s="15">
        <f>D26+D27+D30+D28+D29+D31</f>
        <v>1384251.78</v>
      </c>
    </row>
    <row r="26" spans="1:4" ht="22.5" customHeight="1">
      <c r="A26" s="24" t="s">
        <v>123</v>
      </c>
      <c r="B26" s="20" t="s">
        <v>124</v>
      </c>
      <c r="C26" s="18">
        <f>755082</f>
        <v>755082</v>
      </c>
      <c r="D26" s="19">
        <f>750712.31</f>
        <v>750712.31</v>
      </c>
    </row>
    <row r="27" spans="1:4" ht="45">
      <c r="A27" s="24" t="s">
        <v>125</v>
      </c>
      <c r="B27" s="20" t="s">
        <v>126</v>
      </c>
      <c r="C27" s="18">
        <f>90899.4</f>
        <v>90899.4</v>
      </c>
      <c r="D27" s="19">
        <f>90960.45</f>
        <v>90960.45</v>
      </c>
    </row>
    <row r="28" spans="1:4" ht="32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91546.08</f>
        <v>91546.08</v>
      </c>
      <c r="D29" s="19">
        <f>90745.78</f>
        <v>90745.78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1133886.9400000069</v>
      </c>
      <c r="D31" s="15">
        <f>SUM(D32:D39)</f>
        <v>451833.24</v>
      </c>
    </row>
    <row r="32" spans="1:4" ht="19.5" customHeight="1">
      <c r="A32" s="24" t="s">
        <v>135</v>
      </c>
      <c r="B32" s="17" t="s">
        <v>136</v>
      </c>
      <c r="C32" s="18">
        <f>137841.35</f>
        <v>137841.35</v>
      </c>
      <c r="D32" s="19">
        <f>137841.4</f>
        <v>137841.4</v>
      </c>
    </row>
    <row r="33" spans="1:4">
      <c r="A33" s="24" t="s">
        <v>137</v>
      </c>
      <c r="B33" s="17" t="s">
        <v>138</v>
      </c>
      <c r="C33" s="18">
        <f>123360.24</f>
        <v>123360.24</v>
      </c>
      <c r="D33" s="19">
        <f>109994.54</f>
        <v>109994.54</v>
      </c>
    </row>
    <row r="34" spans="1:4">
      <c r="A34" s="24" t="s">
        <v>139</v>
      </c>
      <c r="B34" s="17" t="s">
        <v>140</v>
      </c>
      <c r="C34" s="18">
        <f>200736.72</f>
        <v>200736.72</v>
      </c>
      <c r="D34" s="19">
        <f>203997.3</f>
        <v>203997.3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671948.630000007</f>
        <v>671948.63000000699</v>
      </c>
      <c r="D39" s="19"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785627.48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55032</v>
      </c>
      <c r="D45" s="27">
        <f>SUM(D46:D48)</f>
        <v>60754.479999999996</v>
      </c>
    </row>
    <row r="46" spans="1:4">
      <c r="A46" s="21" t="s">
        <v>163</v>
      </c>
      <c r="B46" s="17" t="s">
        <v>164</v>
      </c>
      <c r="C46" s="18">
        <f>53051.04</f>
        <v>53051.040000000001</v>
      </c>
      <c r="D46" s="19">
        <f>58773.52</f>
        <v>58773.52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1980.96</f>
        <v>1980.96</v>
      </c>
      <c r="D48" s="19">
        <f>1980.96</f>
        <v>1980.96</v>
      </c>
    </row>
    <row r="49" spans="1:4">
      <c r="A49" s="8" t="s">
        <v>440</v>
      </c>
      <c r="B49" s="28" t="s">
        <v>168</v>
      </c>
      <c r="C49" s="29">
        <f>618832.92</f>
        <v>618832.92000000004</v>
      </c>
      <c r="D49" s="30">
        <f>792962.87</f>
        <v>792962.87</v>
      </c>
    </row>
    <row r="50" spans="1:4">
      <c r="A50" s="8" t="s">
        <v>169</v>
      </c>
      <c r="B50" s="9" t="s">
        <v>170</v>
      </c>
      <c r="C50" s="14">
        <f>C8+C25+C40+C41+C42+C43+C44+C45+C49+C51+C52</f>
        <v>8444612.400000006</v>
      </c>
      <c r="D50" s="15">
        <f>D8+D25+D40+D41+D42+D43+D44+D45+D49+D51+D52</f>
        <v>8444612.4000000004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4772224.8599999994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4636289.1</f>
        <v>4636289.0999999996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135935.76</f>
        <v>135935.76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2524140</f>
        <v>2524140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7296364.8599999994</v>
      </c>
      <c r="D59" s="27">
        <f>D54+D57+D58</f>
        <v>0</v>
      </c>
    </row>
    <row r="60" spans="1:4" ht="25.5">
      <c r="A60" s="33" t="s">
        <v>188</v>
      </c>
      <c r="B60" s="9"/>
      <c r="C60" s="34">
        <v>31346</v>
      </c>
      <c r="D60" s="35">
        <v>31346</v>
      </c>
    </row>
    <row r="61" spans="1:4" ht="15.75" thickBot="1">
      <c r="A61" s="36" t="s">
        <v>189</v>
      </c>
      <c r="B61" s="37"/>
      <c r="C61" s="38">
        <f>(C50+C51+C52)/C60/12</f>
        <v>22.450000000000017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D16:D17"/>
    <mergeCell ref="C16:C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22" sqref="G22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427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3310299.9699999997</v>
      </c>
      <c r="D8" s="11">
        <f>D9+D11+D14+D15</f>
        <v>3278402.8800000004</v>
      </c>
    </row>
    <row r="9" spans="1:4" ht="30">
      <c r="A9" s="12" t="s">
        <v>90</v>
      </c>
      <c r="B9" s="13" t="s">
        <v>91</v>
      </c>
      <c r="C9" s="14">
        <f>2899697.73</f>
        <v>2899697.73</v>
      </c>
      <c r="D9" s="15">
        <f>2778620.45</f>
        <v>2778620.45</v>
      </c>
    </row>
    <row r="10" spans="1:4">
      <c r="A10" s="16" t="s">
        <v>92</v>
      </c>
      <c r="B10" s="17" t="s">
        <v>93</v>
      </c>
      <c r="C10" s="18">
        <f>1767041.9124424</f>
        <v>1767041.9124423999</v>
      </c>
      <c r="D10" s="19">
        <f>_130h_E12</f>
        <v>1767041.9124423999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410602.23999999999</v>
      </c>
      <c r="D15" s="15">
        <f>SUM(D16:D24)</f>
        <v>499782.43</v>
      </c>
    </row>
    <row r="16" spans="1:4">
      <c r="A16" s="22" t="s">
        <v>103</v>
      </c>
      <c r="B16" s="17" t="s">
        <v>104</v>
      </c>
      <c r="C16" s="111">
        <v>222217.68</v>
      </c>
      <c r="D16" s="113">
        <v>288680.65000000002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89584.92</f>
        <v>89584.92</v>
      </c>
      <c r="D18" s="19">
        <f>112301.64</f>
        <v>112301.64</v>
      </c>
    </row>
    <row r="19" spans="1:4">
      <c r="A19" s="22" t="s">
        <v>109</v>
      </c>
      <c r="B19" s="17" t="s">
        <v>110</v>
      </c>
      <c r="C19" s="18">
        <f>6577.52</f>
        <v>6577.52</v>
      </c>
      <c r="D19" s="19">
        <f>6581.92</f>
        <v>6581.92</v>
      </c>
    </row>
    <row r="20" spans="1:4">
      <c r="A20" s="22" t="s">
        <v>111</v>
      </c>
      <c r="B20" s="17" t="s">
        <v>112</v>
      </c>
      <c r="C20" s="18">
        <f>8923.12</f>
        <v>8923.1200000000008</v>
      </c>
      <c r="D20" s="19">
        <f>8919.22</f>
        <v>8919.2199999999993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83299</f>
        <v>83299</v>
      </c>
      <c r="D22" s="19">
        <f>83299</f>
        <v>83299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706495.79000000691</v>
      </c>
      <c r="D25" s="15">
        <f>D26+D27+D30+D28+D29+D31</f>
        <v>642994.94999999995</v>
      </c>
    </row>
    <row r="26" spans="1:4" ht="24.75" customHeight="1">
      <c r="A26" s="24" t="s">
        <v>123</v>
      </c>
      <c r="B26" s="20" t="s">
        <v>124</v>
      </c>
      <c r="C26" s="18">
        <f>302032.8</f>
        <v>302032.8</v>
      </c>
      <c r="D26" s="19">
        <f>302032.81</f>
        <v>302032.81</v>
      </c>
    </row>
    <row r="27" spans="1:4" ht="45">
      <c r="A27" s="24" t="s">
        <v>125</v>
      </c>
      <c r="B27" s="20" t="s">
        <v>126</v>
      </c>
      <c r="C27" s="18">
        <f>46173.36</f>
        <v>46173.36</v>
      </c>
      <c r="D27" s="19">
        <f>46165.86</f>
        <v>46165.86</v>
      </c>
    </row>
    <row r="28" spans="1:4" ht="35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47320.92</f>
        <v>47320.92</v>
      </c>
      <c r="D29" s="19">
        <f>46907.22</f>
        <v>46907.22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310968.71000000695</v>
      </c>
      <c r="D31" s="15">
        <f>SUM(D32:D39)</f>
        <v>247889.06</v>
      </c>
    </row>
    <row r="32" spans="1:4" ht="21.75" customHeight="1">
      <c r="A32" s="24" t="s">
        <v>135</v>
      </c>
      <c r="B32" s="17" t="s">
        <v>136</v>
      </c>
      <c r="C32" s="18">
        <f>68920.68</f>
        <v>68920.679999999993</v>
      </c>
      <c r="D32" s="19">
        <f>68920.71</f>
        <v>68920.710000000006</v>
      </c>
    </row>
    <row r="33" spans="1:4">
      <c r="A33" s="24" t="s">
        <v>137</v>
      </c>
      <c r="B33" s="17" t="s">
        <v>138</v>
      </c>
      <c r="C33" s="18">
        <f>77737.43</f>
        <v>77737.429999999993</v>
      </c>
      <c r="D33" s="19">
        <f>77715.83</f>
        <v>77715.83</v>
      </c>
    </row>
    <row r="34" spans="1:4">
      <c r="A34" s="24" t="s">
        <v>139</v>
      </c>
      <c r="B34" s="17" t="s">
        <v>140</v>
      </c>
      <c r="C34" s="18">
        <f>100394.04</f>
        <v>100394.04</v>
      </c>
      <c r="D34" s="19">
        <f>101252.52</f>
        <v>101252.52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63916.560000007</f>
        <v>63916.560000006997</v>
      </c>
      <c r="D39" s="19">
        <f>0</f>
        <v>0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28413</v>
      </c>
      <c r="D45" s="27">
        <f>SUM(D46:D48)</f>
        <v>31371.03</v>
      </c>
    </row>
    <row r="46" spans="1:4">
      <c r="A46" s="21" t="s">
        <v>163</v>
      </c>
      <c r="B46" s="17" t="s">
        <v>164</v>
      </c>
      <c r="C46" s="18">
        <f>27422.52</f>
        <v>27422.52</v>
      </c>
      <c r="D46" s="19">
        <f>30380.55</f>
        <v>30380.55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990.48</f>
        <v>990.48</v>
      </c>
      <c r="D48" s="19">
        <f>990.48</f>
        <v>990.48</v>
      </c>
    </row>
    <row r="49" spans="1:4">
      <c r="A49" s="8" t="s">
        <v>440</v>
      </c>
      <c r="B49" s="28" t="s">
        <v>168</v>
      </c>
      <c r="C49" s="29">
        <f>319879.44</f>
        <v>319879.44</v>
      </c>
      <c r="D49" s="30">
        <f>412319.34</f>
        <v>412319.34</v>
      </c>
    </row>
    <row r="50" spans="1:4">
      <c r="A50" s="8" t="s">
        <v>169</v>
      </c>
      <c r="B50" s="9" t="s">
        <v>170</v>
      </c>
      <c r="C50" s="14">
        <f>C8+C25+C40+C41+C42+C43+C44+C45+C49+C51+C52</f>
        <v>4365088.2000000067</v>
      </c>
      <c r="D50" s="15">
        <f>D8+D25+D40+D41+D42+D43+D44+D45+D49+D51+D52</f>
        <v>4365088.2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2602759.1399999997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2570570.34</f>
        <v>2570570.34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32188.8</f>
        <v>32188.799999999999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1429620</f>
        <v>1429620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4032379.1399999997</v>
      </c>
      <c r="D59" s="27">
        <f>D54+D57+D58</f>
        <v>0</v>
      </c>
    </row>
    <row r="60" spans="1:4" ht="25.5">
      <c r="A60" s="33" t="s">
        <v>188</v>
      </c>
      <c r="B60" s="9"/>
      <c r="C60" s="34">
        <v>16203</v>
      </c>
      <c r="D60" s="35">
        <v>16203</v>
      </c>
    </row>
    <row r="61" spans="1:4" ht="15.75" thickBot="1">
      <c r="A61" s="36" t="s">
        <v>189</v>
      </c>
      <c r="B61" s="37"/>
      <c r="C61" s="38">
        <f>(C50+C51+C52)/C60/12</f>
        <v>22.450000000000035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D60" sqref="D60"/>
    </sheetView>
  </sheetViews>
  <sheetFormatPr defaultColWidth="11.7109375" defaultRowHeight="15"/>
  <cols>
    <col min="1" max="1" width="60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429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2327455.67</v>
      </c>
      <c r="D8" s="11">
        <f>D9+D11+D14+D15</f>
        <v>2407365.1800000002</v>
      </c>
    </row>
    <row r="9" spans="1:4" ht="32.25" customHeight="1">
      <c r="A9" s="12" t="s">
        <v>90</v>
      </c>
      <c r="B9" s="13" t="s">
        <v>91</v>
      </c>
      <c r="C9" s="14">
        <f>2148884.16</f>
        <v>2148884.16</v>
      </c>
      <c r="D9" s="15">
        <f>2106137.39</f>
        <v>2106137.39</v>
      </c>
    </row>
    <row r="10" spans="1:4">
      <c r="A10" s="16" t="s">
        <v>92</v>
      </c>
      <c r="B10" s="17" t="s">
        <v>93</v>
      </c>
      <c r="C10" s="18">
        <f>1393085.99078341</f>
        <v>1393085.9907834099</v>
      </c>
      <c r="D10" s="19">
        <f>_131h_E12</f>
        <v>1393085.9907834099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6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178571.50999999998</v>
      </c>
      <c r="D15" s="15">
        <f>SUM(D16:D24)</f>
        <v>301227.78999999998</v>
      </c>
    </row>
    <row r="16" spans="1:4">
      <c r="A16" s="22" t="s">
        <v>103</v>
      </c>
      <c r="B16" s="17" t="s">
        <v>104</v>
      </c>
      <c r="C16" s="111">
        <v>138095.51999999999</v>
      </c>
      <c r="D16" s="113">
        <v>265221.90000000002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28323.65</f>
        <v>28323.65</v>
      </c>
      <c r="D18" s="19">
        <f>23850.99</f>
        <v>23850.99</v>
      </c>
    </row>
    <row r="19" spans="1:4">
      <c r="A19" s="22" t="s">
        <v>109</v>
      </c>
      <c r="B19" s="17" t="s">
        <v>110</v>
      </c>
      <c r="C19" s="18">
        <f>7132.52</f>
        <v>7132.52</v>
      </c>
      <c r="D19" s="19">
        <f>7137.3</f>
        <v>7137.3</v>
      </c>
    </row>
    <row r="20" spans="1:4">
      <c r="A20" s="22" t="s">
        <v>111</v>
      </c>
      <c r="B20" s="17" t="s">
        <v>112</v>
      </c>
      <c r="C20" s="18">
        <f>5019.82</f>
        <v>5019.82</v>
      </c>
      <c r="D20" s="19">
        <f>5017.6</f>
        <v>5017.6000000000004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860941.93000002054</v>
      </c>
      <c r="D25" s="15">
        <f>D26+D27+D30+D28+D29+D31</f>
        <v>819001.24</v>
      </c>
    </row>
    <row r="26" spans="1:4" ht="24" customHeight="1">
      <c r="A26" s="24" t="s">
        <v>123</v>
      </c>
      <c r="B26" s="20" t="s">
        <v>124</v>
      </c>
      <c r="C26" s="18">
        <f>341076.24</f>
        <v>341076.24</v>
      </c>
      <c r="D26" s="19">
        <f>311984.45</f>
        <v>311984.45</v>
      </c>
    </row>
    <row r="27" spans="1:4" ht="38.25" customHeight="1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0.7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37557.6</f>
        <v>37557.599999999999</v>
      </c>
      <c r="D29" s="19">
        <f>37229.21</f>
        <v>37229.21</v>
      </c>
    </row>
    <row r="30" spans="1:4" ht="16.5" customHeight="1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191504.53000002049</v>
      </c>
      <c r="D31" s="15">
        <f>SUM(D32:D39)</f>
        <v>179021.97</v>
      </c>
    </row>
    <row r="32" spans="1:4" ht="18.75" customHeight="1">
      <c r="A32" s="24" t="s">
        <v>135</v>
      </c>
      <c r="B32" s="17" t="s">
        <v>136</v>
      </c>
      <c r="C32" s="18">
        <f>7657.85</f>
        <v>7657.85</v>
      </c>
      <c r="D32" s="19">
        <f>7657.79</f>
        <v>7657.79</v>
      </c>
    </row>
    <row r="33" spans="1:4">
      <c r="A33" s="24" t="s">
        <v>137</v>
      </c>
      <c r="B33" s="17" t="s">
        <v>138</v>
      </c>
      <c r="C33" s="18">
        <f>58636.64</f>
        <v>58636.639999999999</v>
      </c>
      <c r="D33" s="19">
        <f>47209.83</f>
        <v>47209.83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2.04890966415405E-08</f>
        <v>2.0489096641540501E-8</v>
      </c>
      <c r="D39" s="19">
        <f>0</f>
        <v>0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33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 ht="19.5" customHeight="1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 ht="17.25" customHeight="1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 ht="18.75" customHeight="1">
      <c r="A45" s="8" t="s">
        <v>161</v>
      </c>
      <c r="B45" s="9" t="s">
        <v>162</v>
      </c>
      <c r="C45" s="26">
        <f>SUM(C46:C48)</f>
        <v>22204.799999999999</v>
      </c>
      <c r="D45" s="27">
        <f>SUM(D46:D48)</f>
        <v>17279.400000000001</v>
      </c>
    </row>
    <row r="46" spans="1:4">
      <c r="A46" s="21" t="s">
        <v>163</v>
      </c>
      <c r="B46" s="17" t="s">
        <v>164</v>
      </c>
      <c r="C46" s="18">
        <f>21764.64</f>
        <v>21764.639999999999</v>
      </c>
      <c r="D46" s="19">
        <f>16839.24</f>
        <v>16839.240000000002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 ht="18" customHeight="1">
      <c r="A49" s="8" t="s">
        <v>440</v>
      </c>
      <c r="B49" s="28" t="s">
        <v>168</v>
      </c>
      <c r="C49" s="29">
        <f>253881.6</f>
        <v>253881.60000000001</v>
      </c>
      <c r="D49" s="30">
        <f>220838.18</f>
        <v>220838.18</v>
      </c>
    </row>
    <row r="50" spans="1:4">
      <c r="A50" s="8" t="s">
        <v>169</v>
      </c>
      <c r="B50" s="9" t="s">
        <v>170</v>
      </c>
      <c r="C50" s="14">
        <f>C8+C25+C40+C41+C42+C43+C44+C45+C49+C51+C52</f>
        <v>3464484.0000000205</v>
      </c>
      <c r="D50" s="15">
        <f>D8+D25+D40+D41+D42+D43+D44+D45+D49+D51+D52</f>
        <v>3464484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1943813.6400000001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1872225.36</f>
        <v>1872225.36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71588.28</f>
        <v>71588.28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971892</f>
        <v>971892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2915705.64</v>
      </c>
      <c r="D59" s="27">
        <f>D54+D57+D58</f>
        <v>0</v>
      </c>
    </row>
    <row r="60" spans="1:4" ht="28.5" customHeight="1">
      <c r="A60" s="33" t="s">
        <v>188</v>
      </c>
      <c r="B60" s="9"/>
      <c r="C60" s="34">
        <v>12860</v>
      </c>
      <c r="D60" s="35">
        <v>12860</v>
      </c>
    </row>
    <row r="61" spans="1:4" ht="15.75" thickBot="1">
      <c r="A61" s="36" t="s">
        <v>189</v>
      </c>
      <c r="B61" s="37"/>
      <c r="C61" s="38">
        <f>(C50+C51+C52)/C60/12</f>
        <v>22.450000000000131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D16" sqref="D16:D17"/>
    </sheetView>
  </sheetViews>
  <sheetFormatPr defaultColWidth="11.7109375" defaultRowHeight="15"/>
  <cols>
    <col min="1" max="1" width="59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431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2325948.4699999997</v>
      </c>
      <c r="D8" s="11">
        <f>D9+D11+D14+D15</f>
        <v>2375593.15</v>
      </c>
    </row>
    <row r="9" spans="1:4" ht="30">
      <c r="A9" s="12" t="s">
        <v>90</v>
      </c>
      <c r="B9" s="13" t="s">
        <v>91</v>
      </c>
      <c r="C9" s="14">
        <f>2122882.44</f>
        <v>2122882.44</v>
      </c>
      <c r="D9" s="15">
        <f>2010690.78</f>
        <v>2010690.78</v>
      </c>
    </row>
    <row r="10" spans="1:4">
      <c r="A10" s="16" t="s">
        <v>92</v>
      </c>
      <c r="B10" s="17" t="s">
        <v>93</v>
      </c>
      <c r="C10" s="18">
        <f>1372935.20737327</f>
        <v>1372935.2073732701</v>
      </c>
      <c r="D10" s="19">
        <f>_132h_E12</f>
        <v>1372935.2073732701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203066.03</v>
      </c>
      <c r="D15" s="15">
        <f>SUM(D16:D24)</f>
        <v>364902.37</v>
      </c>
    </row>
    <row r="16" spans="1:4">
      <c r="A16" s="22" t="s">
        <v>103</v>
      </c>
      <c r="B16" s="17" t="s">
        <v>104</v>
      </c>
      <c r="C16" s="111">
        <v>154151.04000000001</v>
      </c>
      <c r="D16" s="113">
        <v>321790.08000000002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36762.65</f>
        <v>36762.65</v>
      </c>
      <c r="D18" s="19">
        <f>30957.39</f>
        <v>30957.39</v>
      </c>
    </row>
    <row r="19" spans="1:4">
      <c r="A19" s="22" t="s">
        <v>109</v>
      </c>
      <c r="B19" s="17" t="s">
        <v>110</v>
      </c>
      <c r="C19" s="18">
        <f>7132.52</f>
        <v>7132.52</v>
      </c>
      <c r="D19" s="19">
        <f>7137.3</f>
        <v>7137.3</v>
      </c>
    </row>
    <row r="20" spans="1:4">
      <c r="A20" s="22" t="s">
        <v>111</v>
      </c>
      <c r="B20" s="17" t="s">
        <v>112</v>
      </c>
      <c r="C20" s="18">
        <f>5019.82</f>
        <v>5019.82</v>
      </c>
      <c r="D20" s="19">
        <f>5017.6</f>
        <v>5017.6000000000004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864681.01000000141</v>
      </c>
      <c r="D25" s="15">
        <f>D26+D27+D30+D28+D29+D31</f>
        <v>853031.7</v>
      </c>
    </row>
    <row r="26" spans="1:4" ht="21" customHeight="1">
      <c r="A26" s="24" t="s">
        <v>123</v>
      </c>
      <c r="B26" s="20" t="s">
        <v>124</v>
      </c>
      <c r="C26" s="18">
        <f>353773.44</f>
        <v>353773.44</v>
      </c>
      <c r="D26" s="19">
        <f>348614.24</f>
        <v>348614.24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3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37583.88</f>
        <v>37583.879999999997</v>
      </c>
      <c r="D29" s="19">
        <f>34123.29</f>
        <v>34123.29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182520.13000000143</v>
      </c>
      <c r="D31" s="15">
        <f>SUM(D32:D39)</f>
        <v>179528.56</v>
      </c>
    </row>
    <row r="32" spans="1:4" ht="23.25" customHeight="1">
      <c r="A32" s="24" t="s">
        <v>135</v>
      </c>
      <c r="B32" s="17" t="s">
        <v>136</v>
      </c>
      <c r="C32" s="18">
        <f>7657.85</f>
        <v>7657.85</v>
      </c>
      <c r="D32" s="19">
        <f>7657.79</f>
        <v>7657.79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47716.42</f>
        <v>47716.42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151.040000001434</f>
        <v>151.04000000143401</v>
      </c>
      <c r="D39" s="19">
        <f>0</f>
        <v>0</v>
      </c>
    </row>
    <row r="40" spans="1:4" ht="24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22220.04</v>
      </c>
      <c r="D45" s="27">
        <f>SUM(D46:D48)</f>
        <v>17291.18</v>
      </c>
    </row>
    <row r="46" spans="1:4">
      <c r="A46" s="21" t="s">
        <v>163</v>
      </c>
      <c r="B46" s="17" t="s">
        <v>164</v>
      </c>
      <c r="C46" s="18">
        <f>21779.88</f>
        <v>21779.88</v>
      </c>
      <c r="D46" s="19">
        <f>16851.02</f>
        <v>16851.02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254059.08</f>
        <v>254059.08</v>
      </c>
      <c r="D49" s="30">
        <f>220992.57</f>
        <v>220992.57</v>
      </c>
    </row>
    <row r="50" spans="1:4">
      <c r="A50" s="8" t="s">
        <v>169</v>
      </c>
      <c r="B50" s="9" t="s">
        <v>170</v>
      </c>
      <c r="C50" s="14">
        <f>C8+C25+C40+C41+C42+C43+C44+C45+C49+C51+C52</f>
        <v>3466908.6000000015</v>
      </c>
      <c r="D50" s="15">
        <f>D8+D25+D40+D41+D42+D43+D44+D45+D49+D51+D52</f>
        <v>3466908.5999999996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1862281.3199999998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1762198.92</f>
        <v>1762198.92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100082.4</f>
        <v>100082.4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895692</f>
        <v>895692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2757973.32</v>
      </c>
      <c r="D59" s="27">
        <f>D54+D57+D58</f>
        <v>0</v>
      </c>
    </row>
    <row r="60" spans="1:4" ht="25.5">
      <c r="A60" s="33" t="s">
        <v>188</v>
      </c>
      <c r="B60" s="9"/>
      <c r="C60" s="34">
        <v>12869</v>
      </c>
      <c r="D60" s="35">
        <v>12869</v>
      </c>
    </row>
    <row r="61" spans="1:4" ht="15.75" thickBot="1">
      <c r="A61" s="36" t="s">
        <v>189</v>
      </c>
      <c r="B61" s="37"/>
      <c r="C61" s="38">
        <f>(C50+C51+C52)/C60/12</f>
        <v>22.450000000000006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D262"/>
  <sheetViews>
    <sheetView topLeftCell="A31" workbookViewId="0">
      <selection activeCell="G50" sqref="G50"/>
    </sheetView>
  </sheetViews>
  <sheetFormatPr defaultColWidth="11.7109375" defaultRowHeight="15"/>
  <cols>
    <col min="1" max="1" width="57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433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2473173.9299999997</v>
      </c>
      <c r="D8" s="11">
        <f>D9+D11+D14+D15</f>
        <v>2528578.7999999998</v>
      </c>
    </row>
    <row r="9" spans="1:4" ht="30">
      <c r="A9" s="12" t="s">
        <v>90</v>
      </c>
      <c r="B9" s="13" t="s">
        <v>91</v>
      </c>
      <c r="C9" s="14">
        <f>2415091.76</f>
        <v>2415091.7599999998</v>
      </c>
      <c r="D9" s="15">
        <f>2352673.76</f>
        <v>2352673.7599999998</v>
      </c>
    </row>
    <row r="10" spans="1:4">
      <c r="A10" s="16" t="s">
        <v>92</v>
      </c>
      <c r="B10" s="17" t="s">
        <v>93</v>
      </c>
      <c r="C10" s="18">
        <f>1592823.65591398</f>
        <v>1592823.65591398</v>
      </c>
      <c r="D10" s="19">
        <f>_133h_E12</f>
        <v>1592823.65591398</v>
      </c>
    </row>
    <row r="11" spans="1:4" ht="17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58082.170000000006</v>
      </c>
      <c r="D15" s="15">
        <f>SUM(D16:D24)</f>
        <v>175905.03999999998</v>
      </c>
    </row>
    <row r="16" spans="1:4">
      <c r="A16" s="22" t="s">
        <v>103</v>
      </c>
      <c r="B16" s="17" t="s">
        <v>104</v>
      </c>
      <c r="C16" s="111">
        <v>41799</v>
      </c>
      <c r="D16" s="113">
        <v>160271.65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4130.83</f>
        <v>4130.83</v>
      </c>
      <c r="D18" s="19">
        <f>3478.49</f>
        <v>3478.49</v>
      </c>
    </row>
    <row r="19" spans="1:4">
      <c r="A19" s="22" t="s">
        <v>109</v>
      </c>
      <c r="B19" s="17" t="s">
        <v>110</v>
      </c>
      <c r="C19" s="18">
        <f>7132.52</f>
        <v>7132.52</v>
      </c>
      <c r="D19" s="19">
        <f>7137.3</f>
        <v>7137.3</v>
      </c>
    </row>
    <row r="20" spans="1:4">
      <c r="A20" s="22" t="s">
        <v>111</v>
      </c>
      <c r="B20" s="17" t="s">
        <v>112</v>
      </c>
      <c r="C20" s="18">
        <f>5019.82</f>
        <v>5019.82</v>
      </c>
      <c r="D20" s="19">
        <f>5017.6</f>
        <v>5017.6000000000004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865344.27000001527</v>
      </c>
      <c r="D25" s="15">
        <f>D26+D27+D30+D28+D29+D31</f>
        <v>836043.90999999992</v>
      </c>
    </row>
    <row r="26" spans="1:4" ht="21.75" customHeight="1">
      <c r="A26" s="24" t="s">
        <v>123</v>
      </c>
      <c r="B26" s="20" t="s">
        <v>124</v>
      </c>
      <c r="C26" s="18">
        <f>353773.44</f>
        <v>353773.44</v>
      </c>
      <c r="D26" s="19">
        <f>336084.75</f>
        <v>336084.75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2.2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38246.76</f>
        <v>38246.76</v>
      </c>
      <c r="D29" s="19">
        <f>37912.36</f>
        <v>37912.36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182520.51000001529</v>
      </c>
      <c r="D31" s="15">
        <f>SUM(D32:D39)</f>
        <v>171281.19</v>
      </c>
    </row>
    <row r="32" spans="1:4" ht="18" customHeight="1">
      <c r="A32" s="24" t="s">
        <v>135</v>
      </c>
      <c r="B32" s="17" t="s">
        <v>136</v>
      </c>
      <c r="C32" s="18">
        <f>7657.85</f>
        <v>7657.85</v>
      </c>
      <c r="D32" s="19">
        <f>7657.79</f>
        <v>7657.79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39469.05</f>
        <v>39469.050000000003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151.420000015292</f>
        <v>151.420000015292</v>
      </c>
      <c r="D39" s="19">
        <f>0</f>
        <v>0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15954.96</v>
      </c>
      <c r="D45" s="27">
        <f>SUM(D46:D48)</f>
        <v>12443.92</v>
      </c>
    </row>
    <row r="46" spans="1:4">
      <c r="A46" s="21" t="s">
        <v>163</v>
      </c>
      <c r="B46" s="17" t="s">
        <v>164</v>
      </c>
      <c r="C46" s="18">
        <f>15514.8</f>
        <v>15514.8</v>
      </c>
      <c r="D46" s="19">
        <f>12003.76</f>
        <v>12003.76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173589.24</f>
        <v>173589.24</v>
      </c>
      <c r="D49" s="30">
        <f>150995.77</f>
        <v>150995.76999999999</v>
      </c>
    </row>
    <row r="50" spans="1:4">
      <c r="A50" s="8" t="s">
        <v>169</v>
      </c>
      <c r="B50" s="9" t="s">
        <v>170</v>
      </c>
      <c r="C50" s="14">
        <f>C8+C25+C40+C41+C42+C43+C44+C45+C49+C51+C52</f>
        <v>3528062.4000000153</v>
      </c>
      <c r="D50" s="15">
        <f>D8+D25+D40+D41+D42+D43+D44+D45+D49+D51+D52</f>
        <v>3528062.4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2007970.0799999998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1977916.2</f>
        <v>1977916.2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30053.88</f>
        <v>30053.88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1038984</f>
        <v>1038984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3046954.08</v>
      </c>
      <c r="D59" s="27">
        <f>D54+D57+D58</f>
        <v>0</v>
      </c>
    </row>
    <row r="60" spans="1:4" ht="25.5" hidden="1">
      <c r="A60" s="32" t="s">
        <v>187</v>
      </c>
      <c r="B60" s="20"/>
      <c r="C60" s="18">
        <v>13096</v>
      </c>
      <c r="D60" s="19">
        <v>13096</v>
      </c>
    </row>
    <row r="61" spans="1:4" ht="25.5">
      <c r="A61" s="33" t="s">
        <v>188</v>
      </c>
      <c r="B61" s="9"/>
      <c r="C61" s="34">
        <v>13096</v>
      </c>
      <c r="D61" s="35">
        <v>13096</v>
      </c>
    </row>
    <row r="62" spans="1:4" ht="15.75" thickBot="1">
      <c r="A62" s="36" t="s">
        <v>189</v>
      </c>
      <c r="B62" s="37"/>
      <c r="C62" s="38">
        <f>(C50+C51+C52)/C61/12</f>
        <v>22.450000000000099</v>
      </c>
      <c r="D62" s="39">
        <f>(D50+D51+D52)/D61/12</f>
        <v>22.45</v>
      </c>
    </row>
    <row r="63" spans="1:4">
      <c r="A63" s="40"/>
      <c r="B63" s="41"/>
      <c r="C63" s="41"/>
      <c r="D63" s="41"/>
    </row>
    <row r="64" spans="1:4">
      <c r="A64" s="40"/>
      <c r="B64" s="2"/>
      <c r="C64" s="2"/>
      <c r="D64" s="2"/>
    </row>
    <row r="65" spans="1:4">
      <c r="A65" s="42" t="s">
        <v>463</v>
      </c>
      <c r="B65" s="43"/>
      <c r="C65" s="43"/>
      <c r="D65" s="43" t="s">
        <v>464</v>
      </c>
    </row>
    <row r="66" spans="1:4">
      <c r="A66" s="40"/>
      <c r="B66" s="2"/>
      <c r="C66" s="2"/>
      <c r="D66" s="2"/>
    </row>
    <row r="67" spans="1:4">
      <c r="A67" s="42" t="s">
        <v>465</v>
      </c>
      <c r="B67" s="43"/>
      <c r="C67" s="43"/>
      <c r="D67" s="43" t="s">
        <v>466</v>
      </c>
    </row>
    <row r="68" spans="1:4">
      <c r="A68" s="44"/>
      <c r="B68" s="2"/>
      <c r="C68" s="2"/>
      <c r="D68" s="2"/>
    </row>
    <row r="69" spans="1:4">
      <c r="A69" s="42" t="s">
        <v>467</v>
      </c>
      <c r="B69" s="43"/>
      <c r="C69" s="43"/>
      <c r="D69" s="43" t="s">
        <v>468</v>
      </c>
    </row>
    <row r="70" spans="1:4">
      <c r="A70" s="44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  <row r="262" spans="1:4">
      <c r="A262" s="40"/>
      <c r="B262" s="2"/>
      <c r="C262" s="2"/>
      <c r="D262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D262"/>
  <sheetViews>
    <sheetView topLeftCell="A31" workbookViewId="0">
      <selection activeCell="D47" sqref="D47"/>
    </sheetView>
  </sheetViews>
  <sheetFormatPr defaultColWidth="11.7109375" defaultRowHeight="15"/>
  <cols>
    <col min="1" max="1" width="58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435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2401108.52</v>
      </c>
      <c r="D8" s="11">
        <f>D9+D11+D14+D15</f>
        <v>2464818.4699999997</v>
      </c>
    </row>
    <row r="9" spans="1:4" ht="30">
      <c r="A9" s="12" t="s">
        <v>90</v>
      </c>
      <c r="B9" s="13" t="s">
        <v>91</v>
      </c>
      <c r="C9" s="14">
        <f>2245936.31</f>
        <v>2245936.31</v>
      </c>
      <c r="D9" s="15">
        <f>2224112.15</f>
        <v>2224112.15</v>
      </c>
    </row>
    <row r="10" spans="1:4">
      <c r="A10" s="16" t="s">
        <v>92</v>
      </c>
      <c r="B10" s="17" t="s">
        <v>93</v>
      </c>
      <c r="C10" s="18">
        <f>1467086.44393241</f>
        <v>1467086.4439324101</v>
      </c>
      <c r="D10" s="19">
        <f>_134h_E12</f>
        <v>1467086.4439324101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155172.21000000002</v>
      </c>
      <c r="D15" s="15">
        <f>SUM(D16:D24)</f>
        <v>240706.32</v>
      </c>
    </row>
    <row r="16" spans="1:4">
      <c r="A16" s="22" t="s">
        <v>103</v>
      </c>
      <c r="B16" s="17" t="s">
        <v>104</v>
      </c>
      <c r="C16" s="111">
        <v>104045.52</v>
      </c>
      <c r="D16" s="113">
        <v>195660.44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38524.24</f>
        <v>38524.239999999998</v>
      </c>
      <c r="D18" s="19">
        <f>32440.77</f>
        <v>32440.77</v>
      </c>
    </row>
    <row r="19" spans="1:4">
      <c r="A19" s="22" t="s">
        <v>109</v>
      </c>
      <c r="B19" s="17" t="s">
        <v>110</v>
      </c>
      <c r="C19" s="18">
        <f>7391.39</f>
        <v>7391.39</v>
      </c>
      <c r="D19" s="19">
        <f>7396.35</f>
        <v>7396.35</v>
      </c>
    </row>
    <row r="20" spans="1:4">
      <c r="A20" s="22" t="s">
        <v>111</v>
      </c>
      <c r="B20" s="17" t="s">
        <v>112</v>
      </c>
      <c r="C20" s="18">
        <f>5211.06</f>
        <v>5211.0600000000004</v>
      </c>
      <c r="D20" s="19">
        <f>5208.76</f>
        <v>5208.76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793984.11999997532</v>
      </c>
      <c r="D25" s="15">
        <f>D26+D27+D30+D28+D29+D31</f>
        <v>768322.83999999985</v>
      </c>
    </row>
    <row r="26" spans="1:4" ht="22.5" customHeight="1">
      <c r="A26" s="24" t="s">
        <v>123</v>
      </c>
      <c r="B26" s="20" t="s">
        <v>124</v>
      </c>
      <c r="C26" s="18">
        <f>283018.8</f>
        <v>283018.8</v>
      </c>
      <c r="D26" s="19">
        <f>268573.07</f>
        <v>268573.07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3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37636.44</f>
        <v>37636.44</v>
      </c>
      <c r="D29" s="19">
        <f>37307.32</f>
        <v>37307.32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182525.3199999753</v>
      </c>
      <c r="D31" s="15">
        <f>SUM(D32:D39)</f>
        <v>171676.84</v>
      </c>
    </row>
    <row r="32" spans="1:4" ht="21.75" customHeight="1">
      <c r="A32" s="24" t="s">
        <v>135</v>
      </c>
      <c r="B32" s="17" t="s">
        <v>136</v>
      </c>
      <c r="C32" s="18">
        <f>7657.85</f>
        <v>7657.85</v>
      </c>
      <c r="D32" s="19">
        <f>7657.79</f>
        <v>7657.79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39864.7</f>
        <v>39864.699999999997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156.229999975301</f>
        <v>156.22999997530101</v>
      </c>
      <c r="D39" s="19">
        <f>0</f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4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22250.52</v>
      </c>
      <c r="D45" s="27">
        <f>SUM(D46:D48)</f>
        <v>17314.77</v>
      </c>
    </row>
    <row r="46" spans="1:4">
      <c r="A46" s="21" t="s">
        <v>163</v>
      </c>
      <c r="B46" s="17" t="s">
        <v>164</v>
      </c>
      <c r="C46" s="18">
        <f>21810.36</f>
        <v>21810.36</v>
      </c>
      <c r="D46" s="19">
        <f>16874.61</f>
        <v>16874.61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254414.64</f>
        <v>254414.64</v>
      </c>
      <c r="D49" s="30">
        <f>221301.72</f>
        <v>221301.72</v>
      </c>
    </row>
    <row r="50" spans="1:4">
      <c r="A50" s="8" t="s">
        <v>169</v>
      </c>
      <c r="B50" s="9" t="s">
        <v>170</v>
      </c>
      <c r="C50" s="14">
        <f>C8+C25+C40+C41+C42+C43+C44+C45+C49+C51+C52</f>
        <v>3471757.7999999756</v>
      </c>
      <c r="D50" s="15">
        <f>D8+D25+D40+D41+D42+D43+D44+D45+D49+D51+D52</f>
        <v>3471757.8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1956011.16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1867350</f>
        <v>1867350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88661.16</f>
        <v>88661.16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967854</f>
        <v>967854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2923865.16</v>
      </c>
      <c r="D59" s="27">
        <f>D54+D57+D58</f>
        <v>0</v>
      </c>
    </row>
    <row r="60" spans="1:4" ht="25.5" hidden="1">
      <c r="A60" s="32" t="s">
        <v>187</v>
      </c>
      <c r="B60" s="20"/>
      <c r="C60" s="18">
        <v>12887</v>
      </c>
      <c r="D60" s="19">
        <v>12887</v>
      </c>
    </row>
    <row r="61" spans="1:4" ht="25.5">
      <c r="A61" s="33" t="s">
        <v>188</v>
      </c>
      <c r="B61" s="9"/>
      <c r="C61" s="34">
        <v>12887</v>
      </c>
      <c r="D61" s="35">
        <v>12887</v>
      </c>
    </row>
    <row r="62" spans="1:4" ht="15.75" thickBot="1">
      <c r="A62" s="36" t="s">
        <v>189</v>
      </c>
      <c r="B62" s="37"/>
      <c r="C62" s="38">
        <f>(C50+C51+C52)/C61/12</f>
        <v>22.449999999999843</v>
      </c>
      <c r="D62" s="39">
        <f>(D50+D51+D52)/D61/12</f>
        <v>22.45</v>
      </c>
    </row>
    <row r="63" spans="1:4">
      <c r="A63" s="40"/>
      <c r="B63" s="41"/>
      <c r="C63" s="41"/>
      <c r="D63" s="41"/>
    </row>
    <row r="64" spans="1:4">
      <c r="A64" s="40"/>
      <c r="B64" s="2"/>
      <c r="C64" s="2"/>
      <c r="D64" s="2"/>
    </row>
    <row r="65" spans="1:4">
      <c r="A65" s="42" t="s">
        <v>463</v>
      </c>
      <c r="B65" s="43"/>
      <c r="C65" s="43"/>
      <c r="D65" s="43" t="s">
        <v>464</v>
      </c>
    </row>
    <row r="66" spans="1:4">
      <c r="A66" s="40"/>
      <c r="B66" s="2"/>
      <c r="C66" s="2"/>
      <c r="D66" s="2"/>
    </row>
    <row r="67" spans="1:4">
      <c r="A67" s="42" t="s">
        <v>465</v>
      </c>
      <c r="B67" s="43"/>
      <c r="C67" s="43"/>
      <c r="D67" s="43" t="s">
        <v>466</v>
      </c>
    </row>
    <row r="68" spans="1:4">
      <c r="A68" s="44"/>
      <c r="B68" s="2"/>
      <c r="C68" s="2"/>
      <c r="D68" s="2"/>
    </row>
    <row r="69" spans="1:4">
      <c r="A69" s="42" t="s">
        <v>467</v>
      </c>
      <c r="B69" s="43"/>
      <c r="C69" s="43"/>
      <c r="D69" s="43" t="s">
        <v>468</v>
      </c>
    </row>
    <row r="70" spans="1:4">
      <c r="A70" s="44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  <row r="262" spans="1:4">
      <c r="A262" s="40"/>
      <c r="B262" s="2"/>
      <c r="C262" s="2"/>
      <c r="D262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G18" sqref="G18"/>
    </sheetView>
  </sheetViews>
  <sheetFormatPr defaultColWidth="11.7109375" defaultRowHeight="15"/>
  <cols>
    <col min="1" max="1" width="57.85546875" customWidth="1"/>
    <col min="2" max="2" width="9" customWidth="1"/>
    <col min="3" max="3" width="19.85546875" customWidth="1"/>
    <col min="4" max="4" width="17.5703125" customWidth="1"/>
    <col min="5" max="248" width="9.140625" customWidth="1"/>
    <col min="249" max="249" width="38.85546875" customWidth="1"/>
    <col min="250" max="250" width="7.85546875" customWidth="1"/>
    <col min="251" max="251" width="14.85546875" customWidth="1"/>
    <col min="252" max="252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437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2467766.2199999997</v>
      </c>
      <c r="D8" s="11">
        <f>D9+D11+D14+D15</f>
        <v>2432796.58</v>
      </c>
    </row>
    <row r="9" spans="1:4" ht="30">
      <c r="A9" s="12" t="s">
        <v>90</v>
      </c>
      <c r="B9" s="13" t="s">
        <v>91</v>
      </c>
      <c r="C9" s="14">
        <f>2163984.84</f>
        <v>2163984.84</v>
      </c>
      <c r="D9" s="15">
        <f>2149345.77</f>
        <v>2149345.77</v>
      </c>
    </row>
    <row r="10" spans="1:4">
      <c r="A10" s="16" t="s">
        <v>92</v>
      </c>
      <c r="B10" s="17" t="s">
        <v>93</v>
      </c>
      <c r="C10" s="18">
        <f>1398700.36866359</f>
        <v>1398700.3686635899</v>
      </c>
      <c r="D10" s="19">
        <f>_135h_E12</f>
        <v>1398700.3686635899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303781.38000000006</v>
      </c>
      <c r="D15" s="15">
        <f>SUM(D16:D24)</f>
        <v>283450.81</v>
      </c>
    </row>
    <row r="16" spans="1:4">
      <c r="A16" s="22" t="s">
        <v>103</v>
      </c>
      <c r="B16" s="17" t="s">
        <v>104</v>
      </c>
      <c r="C16" s="111">
        <v>253279.92</v>
      </c>
      <c r="D16" s="113">
        <v>228200.41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38349.12</f>
        <v>38349.120000000003</v>
      </c>
      <c r="D18" s="19">
        <f>43095.5</f>
        <v>43095.5</v>
      </c>
    </row>
    <row r="19" spans="1:4">
      <c r="A19" s="22" t="s">
        <v>109</v>
      </c>
      <c r="B19" s="17" t="s">
        <v>110</v>
      </c>
      <c r="C19" s="18">
        <f>7132.52</f>
        <v>7132.52</v>
      </c>
      <c r="D19" s="19">
        <f>7137.3</f>
        <v>7137.3</v>
      </c>
    </row>
    <row r="20" spans="1:4">
      <c r="A20" s="22" t="s">
        <v>111</v>
      </c>
      <c r="B20" s="17" t="s">
        <v>112</v>
      </c>
      <c r="C20" s="18">
        <f>5019.82</f>
        <v>5019.82</v>
      </c>
      <c r="D20" s="19">
        <f>5017.6</f>
        <v>5017.6000000000004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794773.01999998081</v>
      </c>
      <c r="D25" s="15">
        <f>D26+D27+D30+D28+D29+D31</f>
        <v>762435.36</v>
      </c>
    </row>
    <row r="26" spans="1:4" ht="22.5" customHeight="1">
      <c r="A26" s="24" t="s">
        <v>123</v>
      </c>
      <c r="B26" s="20" t="s">
        <v>124</v>
      </c>
      <c r="C26" s="18">
        <f>283018.8</f>
        <v>283018.8</v>
      </c>
      <c r="D26" s="19">
        <f>263561.25</f>
        <v>263561.25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2.2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38430.84</f>
        <v>38430.839999999997</v>
      </c>
      <c r="D29" s="19">
        <f>38094.76</f>
        <v>38094.76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182519.81999998089</v>
      </c>
      <c r="D31" s="15">
        <f>SUM(D32:D39)</f>
        <v>170013.74</v>
      </c>
    </row>
    <row r="32" spans="1:4" ht="21.75" customHeight="1">
      <c r="A32" s="24" t="s">
        <v>135</v>
      </c>
      <c r="B32" s="17" t="s">
        <v>136</v>
      </c>
      <c r="C32" s="18">
        <f>7657.85</f>
        <v>7657.85</v>
      </c>
      <c r="D32" s="19">
        <f>7657.79</f>
        <v>7657.79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38201.6</f>
        <v>38201.599999999999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4.7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150.729999980889</f>
        <v>150.729999980889</v>
      </c>
      <c r="D39" s="19">
        <f>0</f>
        <v>0</v>
      </c>
    </row>
    <row r="40" spans="1:4" ht="16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22710.84</v>
      </c>
      <c r="D45" s="27">
        <f>SUM(D46:D48)</f>
        <v>25113.07</v>
      </c>
    </row>
    <row r="46" spans="1:4">
      <c r="A46" s="21" t="s">
        <v>163</v>
      </c>
      <c r="B46" s="17" t="s">
        <v>164</v>
      </c>
      <c r="C46" s="18">
        <f>22270.68</f>
        <v>22270.68</v>
      </c>
      <c r="D46" s="19">
        <f>24672.91</f>
        <v>24672.91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259784.52</f>
        <v>259784.52</v>
      </c>
      <c r="D49" s="30">
        <f>324689.59</f>
        <v>324689.59000000003</v>
      </c>
    </row>
    <row r="50" spans="1:4">
      <c r="A50" s="8" t="s">
        <v>169</v>
      </c>
      <c r="B50" s="9" t="s">
        <v>170</v>
      </c>
      <c r="C50" s="14">
        <f>C8+C25+C40+C41+C42+C43+C44+C45+C49+C51+C52</f>
        <v>3545034.5999999805</v>
      </c>
      <c r="D50" s="15">
        <f>D8+D25+D40+D41+D42+D43+D44+D45+D49+D51+D52</f>
        <v>3545034.5999999996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1955454.6600000001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1862230.86</f>
        <v>1862230.86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93223.8</f>
        <v>93223.8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957528</f>
        <v>957528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2912982.66</v>
      </c>
      <c r="D59" s="27">
        <f>D54+D57+D58</f>
        <v>0</v>
      </c>
    </row>
    <row r="60" spans="1:4" ht="25.5">
      <c r="A60" s="33" t="s">
        <v>188</v>
      </c>
      <c r="B60" s="9"/>
      <c r="C60" s="34">
        <v>13159</v>
      </c>
      <c r="D60" s="35">
        <v>13159</v>
      </c>
    </row>
    <row r="61" spans="1:4" ht="15.75" thickBot="1">
      <c r="A61" s="36" t="s">
        <v>189</v>
      </c>
      <c r="B61" s="37"/>
      <c r="C61" s="38">
        <f>(C50+C51+C52)/C60/12</f>
        <v>22.449999999999875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D261"/>
  <sheetViews>
    <sheetView topLeftCell="A25" workbookViewId="0">
      <selection activeCell="F41" sqref="F41"/>
    </sheetView>
  </sheetViews>
  <sheetFormatPr defaultColWidth="11.7109375" defaultRowHeight="15"/>
  <cols>
    <col min="1" max="1" width="57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439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2401849.09</v>
      </c>
      <c r="D8" s="11">
        <f>D9+D11+D14+D15</f>
        <v>2449852.66</v>
      </c>
    </row>
    <row r="9" spans="1:4" ht="30">
      <c r="A9" s="12" t="s">
        <v>90</v>
      </c>
      <c r="B9" s="13" t="s">
        <v>91</v>
      </c>
      <c r="C9" s="14">
        <f>2271691.56</f>
        <v>2271691.56</v>
      </c>
      <c r="D9" s="15">
        <f>2205560.47</f>
        <v>2205560.4700000002</v>
      </c>
    </row>
    <row r="10" spans="1:4">
      <c r="A10" s="16" t="s">
        <v>92</v>
      </c>
      <c r="B10" s="17" t="s">
        <v>93</v>
      </c>
      <c r="C10" s="18">
        <f>1486807.74193548</f>
        <v>1486807.7419354799</v>
      </c>
      <c r="D10" s="19">
        <f>_136h_E12</f>
        <v>1486807.7419354799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130157.53</v>
      </c>
      <c r="D15" s="15">
        <f>SUM(D16:D24)</f>
        <v>244292.18999999997</v>
      </c>
    </row>
    <row r="16" spans="1:4">
      <c r="A16" s="22" t="s">
        <v>103</v>
      </c>
      <c r="B16" s="17" t="s">
        <v>104</v>
      </c>
      <c r="C16" s="111">
        <v>83077.8</v>
      </c>
      <c r="D16" s="113">
        <v>198191.55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34927.39</f>
        <v>34927.39</v>
      </c>
      <c r="D18" s="19">
        <f>33945.74</f>
        <v>33945.74</v>
      </c>
    </row>
    <row r="19" spans="1:4">
      <c r="A19" s="22" t="s">
        <v>109</v>
      </c>
      <c r="B19" s="17" t="s">
        <v>110</v>
      </c>
      <c r="C19" s="18">
        <f>7132.52</f>
        <v>7132.52</v>
      </c>
      <c r="D19" s="19">
        <f>7137.3</f>
        <v>7137.3</v>
      </c>
    </row>
    <row r="20" spans="1:4">
      <c r="A20" s="22" t="s">
        <v>111</v>
      </c>
      <c r="B20" s="17" t="s">
        <v>112</v>
      </c>
      <c r="C20" s="18">
        <f>5019.82</f>
        <v>5019.82</v>
      </c>
      <c r="D20" s="19">
        <f>5017.6</f>
        <v>5017.6000000000004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4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793987.78999996418</v>
      </c>
      <c r="D25" s="15">
        <f>D26+D27+D30+D28+D29+D31</f>
        <v>782227.48</v>
      </c>
    </row>
    <row r="26" spans="1:4">
      <c r="A26" s="24" t="s">
        <v>123</v>
      </c>
      <c r="B26" s="20" t="s">
        <v>124</v>
      </c>
      <c r="C26" s="18">
        <f>283018.8</f>
        <v>283018.8</v>
      </c>
      <c r="D26" s="19">
        <f>283018.81</f>
        <v>283018.81</v>
      </c>
    </row>
    <row r="27" spans="1:4" ht="45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5.25" customHeight="1">
      <c r="A28" s="21" t="s">
        <v>127</v>
      </c>
      <c r="B28" s="20" t="s">
        <v>128</v>
      </c>
      <c r="C28" s="18">
        <f>254328</f>
        <v>254328</v>
      </c>
      <c r="D28" s="19">
        <f>254328</f>
        <v>254328</v>
      </c>
    </row>
    <row r="29" spans="1:4">
      <c r="A29" s="21" t="s">
        <v>129</v>
      </c>
      <c r="B29" s="20" t="s">
        <v>130</v>
      </c>
      <c r="C29" s="18">
        <f>37645.2</f>
        <v>37645.199999999997</v>
      </c>
      <c r="D29" s="19">
        <f>37315.98</f>
        <v>37315.980000000003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182520.22999996427</v>
      </c>
      <c r="D31" s="15">
        <f>SUM(D32:D39)</f>
        <v>171127.08000000002</v>
      </c>
    </row>
    <row r="32" spans="1:4">
      <c r="A32" s="24" t="s">
        <v>135</v>
      </c>
      <c r="B32" s="17" t="s">
        <v>136</v>
      </c>
      <c r="C32" s="18">
        <f>7657.85</f>
        <v>7657.85</v>
      </c>
      <c r="D32" s="19">
        <f>7657.79</f>
        <v>7657.79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39314.94</f>
        <v>39314.94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47654.35</f>
        <v>47654.35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151.139999964274</f>
        <v>151.13999996427401</v>
      </c>
      <c r="D39" s="19">
        <f>0</f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22255.56</v>
      </c>
      <c r="D45" s="27">
        <f>SUM(D46:D48)</f>
        <v>17318.68</v>
      </c>
    </row>
    <row r="46" spans="1:4">
      <c r="A46" s="21" t="s">
        <v>163</v>
      </c>
      <c r="B46" s="17" t="s">
        <v>164</v>
      </c>
      <c r="C46" s="18">
        <f>21815.4</f>
        <v>21815.4</v>
      </c>
      <c r="D46" s="19">
        <f>16878.52</f>
        <v>16878.52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254473.56</f>
        <v>254473.56</v>
      </c>
      <c r="D49" s="30">
        <f>223167.18</f>
        <v>223167.18</v>
      </c>
    </row>
    <row r="50" spans="1:4">
      <c r="A50" s="8" t="s">
        <v>169</v>
      </c>
      <c r="B50" s="9" t="s">
        <v>170</v>
      </c>
      <c r="C50" s="14">
        <f>C8+C25+C40+C41+C42+C43+C44+C45+C49+C51+C52</f>
        <v>3472565.9999999641</v>
      </c>
      <c r="D50" s="15">
        <f>D8+D25+D40+D41+D42+D43+D44+D45+D49+D51+D52</f>
        <v>3472566.0000000005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1947679.74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1870292.58</f>
        <v>1870292.58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77387.16</f>
        <v>77387.16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969816</f>
        <v>969816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2917495.74</v>
      </c>
      <c r="D59" s="27">
        <f>D54+D57+D58</f>
        <v>0</v>
      </c>
    </row>
    <row r="60" spans="1:4" ht="25.5">
      <c r="A60" s="33" t="s">
        <v>188</v>
      </c>
      <c r="B60" s="9"/>
      <c r="C60" s="34">
        <v>12890</v>
      </c>
      <c r="D60" s="35">
        <v>12890</v>
      </c>
    </row>
    <row r="61" spans="1:4" ht="15.75" thickBot="1">
      <c r="A61" s="36" t="s">
        <v>189</v>
      </c>
      <c r="B61" s="37"/>
      <c r="C61" s="38">
        <f>(C50+C51+C52)/C60/12</f>
        <v>22.449999999999765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 ht="21.75" customHeight="1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438</v>
      </c>
      <c r="D7" t="s">
        <v>438</v>
      </c>
    </row>
    <row r="8" spans="3:4">
      <c r="C8" t="s">
        <v>438</v>
      </c>
      <c r="D8" t="s">
        <v>438</v>
      </c>
    </row>
    <row r="9" spans="3:4">
      <c r="C9" t="s">
        <v>438</v>
      </c>
      <c r="D9" t="s">
        <v>438</v>
      </c>
    </row>
    <row r="10" spans="3:4">
      <c r="C10" t="s">
        <v>438</v>
      </c>
      <c r="D10" t="s">
        <v>438</v>
      </c>
    </row>
    <row r="11" spans="3:4">
      <c r="C11" t="s">
        <v>438</v>
      </c>
      <c r="D11" t="s">
        <v>438</v>
      </c>
    </row>
    <row r="12" spans="3:4">
      <c r="C12" t="s">
        <v>438</v>
      </c>
      <c r="D12" t="s">
        <v>438</v>
      </c>
    </row>
    <row r="13" spans="3:4">
      <c r="C13" t="s">
        <v>438</v>
      </c>
      <c r="D13" t="s">
        <v>438</v>
      </c>
    </row>
    <row r="14" spans="3:4">
      <c r="C14" t="s">
        <v>438</v>
      </c>
      <c r="D14" t="s">
        <v>438</v>
      </c>
    </row>
    <row r="15" spans="3:4">
      <c r="C15" t="s">
        <v>438</v>
      </c>
      <c r="D15" t="s">
        <v>438</v>
      </c>
    </row>
    <row r="16" spans="3:4">
      <c r="C16" t="s">
        <v>438</v>
      </c>
      <c r="D16" t="s">
        <v>438</v>
      </c>
    </row>
    <row r="17" spans="3:4">
      <c r="C17" t="s">
        <v>438</v>
      </c>
      <c r="D17" t="s">
        <v>438</v>
      </c>
    </row>
    <row r="18" spans="3:4">
      <c r="C18" t="s">
        <v>438</v>
      </c>
      <c r="D18" t="s">
        <v>438</v>
      </c>
    </row>
    <row r="19" spans="3:4">
      <c r="C19" t="s">
        <v>438</v>
      </c>
      <c r="D19" t="s">
        <v>438</v>
      </c>
    </row>
    <row r="20" spans="3:4">
      <c r="C20" t="s">
        <v>438</v>
      </c>
      <c r="D20" t="s">
        <v>438</v>
      </c>
    </row>
    <row r="21" spans="3:4">
      <c r="C21" t="s">
        <v>438</v>
      </c>
      <c r="D21" t="s">
        <v>438</v>
      </c>
    </row>
    <row r="22" spans="3:4">
      <c r="C22" t="s">
        <v>438</v>
      </c>
      <c r="D22" t="s">
        <v>438</v>
      </c>
    </row>
    <row r="23" spans="3:4">
      <c r="C23" t="s">
        <v>438</v>
      </c>
      <c r="D23" t="s">
        <v>438</v>
      </c>
    </row>
    <row r="24" spans="3:4">
      <c r="C24" t="s">
        <v>438</v>
      </c>
      <c r="D24" t="s">
        <v>438</v>
      </c>
    </row>
    <row r="25" spans="3:4">
      <c r="C25" t="s">
        <v>438</v>
      </c>
      <c r="D25" t="s">
        <v>438</v>
      </c>
    </row>
    <row r="26" spans="3:4">
      <c r="C26" t="s">
        <v>438</v>
      </c>
      <c r="D26" t="s">
        <v>438</v>
      </c>
    </row>
    <row r="27" spans="3:4">
      <c r="C27" t="s">
        <v>438</v>
      </c>
      <c r="D27" t="s">
        <v>438</v>
      </c>
    </row>
    <row r="28" spans="3:4">
      <c r="C28" t="s">
        <v>438</v>
      </c>
      <c r="D28" t="s">
        <v>438</v>
      </c>
    </row>
    <row r="29" spans="3:4">
      <c r="C29" t="s">
        <v>438</v>
      </c>
      <c r="D29" t="s">
        <v>438</v>
      </c>
    </row>
    <row r="30" spans="3:4">
      <c r="C30" t="s">
        <v>438</v>
      </c>
      <c r="D30" t="s">
        <v>438</v>
      </c>
    </row>
    <row r="31" spans="3:4">
      <c r="C31" t="s">
        <v>438</v>
      </c>
      <c r="D31" t="s">
        <v>438</v>
      </c>
    </row>
    <row r="32" spans="3:4">
      <c r="C32" t="s">
        <v>438</v>
      </c>
      <c r="D32" t="s">
        <v>438</v>
      </c>
    </row>
    <row r="33" spans="3:4">
      <c r="C33" t="s">
        <v>438</v>
      </c>
      <c r="D33" t="s">
        <v>438</v>
      </c>
    </row>
    <row r="34" spans="3:4">
      <c r="C34" t="s">
        <v>438</v>
      </c>
      <c r="D34" t="s">
        <v>438</v>
      </c>
    </row>
    <row r="35" spans="3:4">
      <c r="C35" t="s">
        <v>438</v>
      </c>
      <c r="D35" t="s">
        <v>438</v>
      </c>
    </row>
    <row r="36" spans="3:4">
      <c r="C36" t="s">
        <v>438</v>
      </c>
      <c r="D36" t="s">
        <v>438</v>
      </c>
    </row>
    <row r="37" spans="3:4">
      <c r="C37" t="s">
        <v>438</v>
      </c>
      <c r="D37" t="s">
        <v>438</v>
      </c>
    </row>
    <row r="38" spans="3:4">
      <c r="C38" t="s">
        <v>438</v>
      </c>
      <c r="D38" t="s">
        <v>438</v>
      </c>
    </row>
    <row r="39" spans="3:4">
      <c r="C39" t="s">
        <v>438</v>
      </c>
      <c r="D39" t="s">
        <v>438</v>
      </c>
    </row>
    <row r="40" spans="3:4">
      <c r="C40" t="s">
        <v>438</v>
      </c>
      <c r="D40" t="s">
        <v>438</v>
      </c>
    </row>
    <row r="41" spans="3:4">
      <c r="C41" t="s">
        <v>438</v>
      </c>
      <c r="D41" t="s">
        <v>438</v>
      </c>
    </row>
    <row r="42" spans="3:4">
      <c r="C42" t="s">
        <v>438</v>
      </c>
      <c r="D42" t="s">
        <v>438</v>
      </c>
    </row>
    <row r="43" spans="3:4">
      <c r="C43" t="s">
        <v>438</v>
      </c>
      <c r="D43" t="s">
        <v>438</v>
      </c>
    </row>
    <row r="44" spans="3:4">
      <c r="C44" t="s">
        <v>438</v>
      </c>
      <c r="D44" t="s">
        <v>438</v>
      </c>
    </row>
    <row r="45" spans="3:4">
      <c r="C45" t="s">
        <v>438</v>
      </c>
      <c r="D45" t="s">
        <v>438</v>
      </c>
    </row>
    <row r="46" spans="3:4">
      <c r="C46" t="s">
        <v>438</v>
      </c>
      <c r="D46" t="s">
        <v>438</v>
      </c>
    </row>
    <row r="47" spans="3:4">
      <c r="C47" t="s">
        <v>438</v>
      </c>
      <c r="D47" t="s">
        <v>438</v>
      </c>
    </row>
    <row r="48" spans="3:4">
      <c r="C48" t="s">
        <v>438</v>
      </c>
      <c r="D48" t="s">
        <v>438</v>
      </c>
    </row>
    <row r="49" spans="3:4">
      <c r="C49" t="s">
        <v>438</v>
      </c>
      <c r="D49" t="s">
        <v>438</v>
      </c>
    </row>
    <row r="50" spans="3:4">
      <c r="C50" t="s">
        <v>438</v>
      </c>
      <c r="D50" t="s">
        <v>438</v>
      </c>
    </row>
    <row r="51" spans="3:4">
      <c r="C51" t="s">
        <v>438</v>
      </c>
      <c r="D51" t="s">
        <v>438</v>
      </c>
    </row>
    <row r="52" spans="3:4">
      <c r="C52" t="s">
        <v>438</v>
      </c>
      <c r="D52" t="s">
        <v>438</v>
      </c>
    </row>
    <row r="53" spans="3:4">
      <c r="C53" t="s">
        <v>438</v>
      </c>
      <c r="D53" t="s">
        <v>438</v>
      </c>
    </row>
    <row r="54" spans="3:4">
      <c r="C54" t="s">
        <v>438</v>
      </c>
      <c r="D54" t="s">
        <v>438</v>
      </c>
    </row>
    <row r="55" spans="3:4">
      <c r="C55" t="s">
        <v>438</v>
      </c>
      <c r="D55" t="s">
        <v>438</v>
      </c>
    </row>
    <row r="56" spans="3:4">
      <c r="C56" t="s">
        <v>438</v>
      </c>
      <c r="D56" t="s">
        <v>438</v>
      </c>
    </row>
    <row r="57" spans="3:4">
      <c r="C57" t="s">
        <v>438</v>
      </c>
      <c r="D57" t="s">
        <v>438</v>
      </c>
    </row>
    <row r="58" spans="3:4">
      <c r="C58" t="s">
        <v>438</v>
      </c>
      <c r="D58" t="s">
        <v>438</v>
      </c>
    </row>
    <row r="59" spans="3:4">
      <c r="C59" t="s">
        <v>438</v>
      </c>
      <c r="D59" t="s">
        <v>438</v>
      </c>
    </row>
    <row r="60" spans="3:4">
      <c r="C60" t="s">
        <v>438</v>
      </c>
      <c r="D60" t="s">
        <v>438</v>
      </c>
    </row>
    <row r="61" spans="3:4">
      <c r="C61" t="s">
        <v>438</v>
      </c>
      <c r="D61" t="s">
        <v>438</v>
      </c>
    </row>
    <row r="62" spans="3:4">
      <c r="C62" t="s">
        <v>438</v>
      </c>
      <c r="D62" t="s">
        <v>438</v>
      </c>
    </row>
    <row r="63" spans="3:4">
      <c r="C63" t="s">
        <v>438</v>
      </c>
      <c r="D63" t="s">
        <v>438</v>
      </c>
    </row>
    <row r="64" spans="3:4">
      <c r="C64" t="s">
        <v>438</v>
      </c>
      <c r="D64" t="s">
        <v>438</v>
      </c>
    </row>
    <row r="65" spans="3:4">
      <c r="C65" t="s">
        <v>438</v>
      </c>
      <c r="D65" t="s">
        <v>438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436</v>
      </c>
      <c r="D7" t="s">
        <v>436</v>
      </c>
    </row>
    <row r="8" spans="3:4">
      <c r="C8" t="s">
        <v>436</v>
      </c>
      <c r="D8" t="s">
        <v>436</v>
      </c>
    </row>
    <row r="9" spans="3:4">
      <c r="C9" t="s">
        <v>436</v>
      </c>
      <c r="D9" t="s">
        <v>436</v>
      </c>
    </row>
    <row r="10" spans="3:4">
      <c r="C10" t="s">
        <v>436</v>
      </c>
      <c r="D10" t="s">
        <v>436</v>
      </c>
    </row>
    <row r="11" spans="3:4">
      <c r="C11" t="s">
        <v>436</v>
      </c>
      <c r="D11" t="s">
        <v>436</v>
      </c>
    </row>
    <row r="12" spans="3:4">
      <c r="C12" t="s">
        <v>436</v>
      </c>
      <c r="D12" t="s">
        <v>436</v>
      </c>
    </row>
    <row r="13" spans="3:4">
      <c r="C13" t="s">
        <v>436</v>
      </c>
      <c r="D13" t="s">
        <v>436</v>
      </c>
    </row>
    <row r="14" spans="3:4">
      <c r="C14" t="s">
        <v>436</v>
      </c>
      <c r="D14" t="s">
        <v>436</v>
      </c>
    </row>
    <row r="15" spans="3:4">
      <c r="C15" t="s">
        <v>436</v>
      </c>
      <c r="D15" t="s">
        <v>436</v>
      </c>
    </row>
    <row r="16" spans="3:4">
      <c r="C16" t="s">
        <v>436</v>
      </c>
      <c r="D16" t="s">
        <v>436</v>
      </c>
    </row>
    <row r="17" spans="3:4">
      <c r="C17" t="s">
        <v>436</v>
      </c>
      <c r="D17" t="s">
        <v>436</v>
      </c>
    </row>
    <row r="18" spans="3:4">
      <c r="C18" t="s">
        <v>436</v>
      </c>
      <c r="D18" t="s">
        <v>436</v>
      </c>
    </row>
    <row r="19" spans="3:4">
      <c r="C19" t="s">
        <v>436</v>
      </c>
      <c r="D19" t="s">
        <v>436</v>
      </c>
    </row>
    <row r="20" spans="3:4">
      <c r="C20" t="s">
        <v>436</v>
      </c>
      <c r="D20" t="s">
        <v>436</v>
      </c>
    </row>
    <row r="21" spans="3:4">
      <c r="C21" t="s">
        <v>436</v>
      </c>
      <c r="D21" t="s">
        <v>436</v>
      </c>
    </row>
    <row r="22" spans="3:4">
      <c r="C22" t="s">
        <v>436</v>
      </c>
      <c r="D22" t="s">
        <v>436</v>
      </c>
    </row>
    <row r="23" spans="3:4">
      <c r="C23" t="s">
        <v>436</v>
      </c>
      <c r="D23" t="s">
        <v>436</v>
      </c>
    </row>
    <row r="24" spans="3:4">
      <c r="C24" t="s">
        <v>436</v>
      </c>
      <c r="D24" t="s">
        <v>436</v>
      </c>
    </row>
    <row r="25" spans="3:4">
      <c r="C25" t="s">
        <v>436</v>
      </c>
      <c r="D25" t="s">
        <v>436</v>
      </c>
    </row>
    <row r="26" spans="3:4">
      <c r="C26" t="s">
        <v>436</v>
      </c>
      <c r="D26" t="s">
        <v>436</v>
      </c>
    </row>
    <row r="27" spans="3:4">
      <c r="C27" t="s">
        <v>436</v>
      </c>
      <c r="D27" t="s">
        <v>436</v>
      </c>
    </row>
    <row r="28" spans="3:4">
      <c r="C28" t="s">
        <v>436</v>
      </c>
      <c r="D28" t="s">
        <v>436</v>
      </c>
    </row>
    <row r="29" spans="3:4">
      <c r="C29" t="s">
        <v>436</v>
      </c>
      <c r="D29" t="s">
        <v>436</v>
      </c>
    </row>
    <row r="30" spans="3:4">
      <c r="C30" t="s">
        <v>436</v>
      </c>
      <c r="D30" t="s">
        <v>436</v>
      </c>
    </row>
    <row r="31" spans="3:4">
      <c r="C31" t="s">
        <v>436</v>
      </c>
      <c r="D31" t="s">
        <v>436</v>
      </c>
    </row>
    <row r="32" spans="3:4">
      <c r="C32" t="s">
        <v>436</v>
      </c>
      <c r="D32" t="s">
        <v>436</v>
      </c>
    </row>
    <row r="33" spans="3:4">
      <c r="C33" t="s">
        <v>436</v>
      </c>
      <c r="D33" t="s">
        <v>436</v>
      </c>
    </row>
    <row r="34" spans="3:4">
      <c r="C34" t="s">
        <v>436</v>
      </c>
      <c r="D34" t="s">
        <v>436</v>
      </c>
    </row>
    <row r="35" spans="3:4">
      <c r="C35" t="s">
        <v>436</v>
      </c>
      <c r="D35" t="s">
        <v>436</v>
      </c>
    </row>
    <row r="36" spans="3:4">
      <c r="C36" t="s">
        <v>436</v>
      </c>
      <c r="D36" t="s">
        <v>436</v>
      </c>
    </row>
    <row r="37" spans="3:4">
      <c r="C37" t="s">
        <v>436</v>
      </c>
      <c r="D37" t="s">
        <v>436</v>
      </c>
    </row>
    <row r="38" spans="3:4">
      <c r="C38" t="s">
        <v>436</v>
      </c>
      <c r="D38" t="s">
        <v>436</v>
      </c>
    </row>
    <row r="39" spans="3:4">
      <c r="C39" t="s">
        <v>436</v>
      </c>
      <c r="D39" t="s">
        <v>436</v>
      </c>
    </row>
    <row r="40" spans="3:4">
      <c r="C40" t="s">
        <v>436</v>
      </c>
      <c r="D40" t="s">
        <v>436</v>
      </c>
    </row>
    <row r="41" spans="3:4">
      <c r="C41" t="s">
        <v>436</v>
      </c>
      <c r="D41" t="s">
        <v>436</v>
      </c>
    </row>
    <row r="42" spans="3:4">
      <c r="C42" t="s">
        <v>436</v>
      </c>
      <c r="D42" t="s">
        <v>436</v>
      </c>
    </row>
    <row r="43" spans="3:4">
      <c r="C43" t="s">
        <v>436</v>
      </c>
      <c r="D43" t="s">
        <v>436</v>
      </c>
    </row>
    <row r="44" spans="3:4">
      <c r="C44" t="s">
        <v>436</v>
      </c>
      <c r="D44" t="s">
        <v>436</v>
      </c>
    </row>
    <row r="45" spans="3:4">
      <c r="C45" t="s">
        <v>436</v>
      </c>
      <c r="D45" t="s">
        <v>436</v>
      </c>
    </row>
    <row r="46" spans="3:4">
      <c r="C46" t="s">
        <v>436</v>
      </c>
      <c r="D46" t="s">
        <v>436</v>
      </c>
    </row>
    <row r="47" spans="3:4">
      <c r="C47" t="s">
        <v>436</v>
      </c>
      <c r="D47" t="s">
        <v>436</v>
      </c>
    </row>
    <row r="48" spans="3:4">
      <c r="C48" t="s">
        <v>436</v>
      </c>
      <c r="D48" t="s">
        <v>436</v>
      </c>
    </row>
    <row r="49" spans="3:4">
      <c r="C49" t="s">
        <v>436</v>
      </c>
      <c r="D49" t="s">
        <v>436</v>
      </c>
    </row>
    <row r="50" spans="3:4">
      <c r="C50" t="s">
        <v>436</v>
      </c>
      <c r="D50" t="s">
        <v>436</v>
      </c>
    </row>
    <row r="51" spans="3:4">
      <c r="C51" t="s">
        <v>436</v>
      </c>
      <c r="D51" t="s">
        <v>436</v>
      </c>
    </row>
    <row r="52" spans="3:4">
      <c r="C52" t="s">
        <v>436</v>
      </c>
      <c r="D52" t="s">
        <v>436</v>
      </c>
    </row>
    <row r="53" spans="3:4">
      <c r="C53" t="s">
        <v>436</v>
      </c>
      <c r="D53" t="s">
        <v>436</v>
      </c>
    </row>
    <row r="54" spans="3:4">
      <c r="C54" t="s">
        <v>436</v>
      </c>
      <c r="D54" t="s">
        <v>436</v>
      </c>
    </row>
    <row r="55" spans="3:4">
      <c r="C55" t="s">
        <v>436</v>
      </c>
      <c r="D55" t="s">
        <v>436</v>
      </c>
    </row>
    <row r="56" spans="3:4">
      <c r="C56" t="s">
        <v>436</v>
      </c>
      <c r="D56" t="s">
        <v>436</v>
      </c>
    </row>
    <row r="57" spans="3:4">
      <c r="C57" t="s">
        <v>436</v>
      </c>
      <c r="D57" t="s">
        <v>436</v>
      </c>
    </row>
    <row r="58" spans="3:4">
      <c r="C58" t="s">
        <v>436</v>
      </c>
      <c r="D58" t="s">
        <v>436</v>
      </c>
    </row>
    <row r="59" spans="3:4">
      <c r="C59" t="s">
        <v>436</v>
      </c>
      <c r="D59" t="s">
        <v>436</v>
      </c>
    </row>
    <row r="60" spans="3:4">
      <c r="C60" t="s">
        <v>436</v>
      </c>
      <c r="D60" t="s">
        <v>436</v>
      </c>
    </row>
    <row r="61" spans="3:4">
      <c r="C61" t="s">
        <v>436</v>
      </c>
      <c r="D61" t="s">
        <v>436</v>
      </c>
    </row>
    <row r="62" spans="3:4">
      <c r="C62" t="s">
        <v>436</v>
      </c>
      <c r="D62" t="s">
        <v>436</v>
      </c>
    </row>
    <row r="63" spans="3:4">
      <c r="C63" t="s">
        <v>436</v>
      </c>
      <c r="D63" t="s">
        <v>436</v>
      </c>
    </row>
    <row r="64" spans="3:4">
      <c r="C64" t="s">
        <v>436</v>
      </c>
      <c r="D64" t="s">
        <v>436</v>
      </c>
    </row>
    <row r="65" spans="3:4">
      <c r="C65" t="s">
        <v>436</v>
      </c>
      <c r="D65" t="s">
        <v>436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61"/>
  <sheetViews>
    <sheetView topLeftCell="A28" workbookViewId="0">
      <selection sqref="A1:D68"/>
    </sheetView>
  </sheetViews>
  <sheetFormatPr defaultColWidth="11.7109375" defaultRowHeight="15"/>
  <cols>
    <col min="1" max="1" width="64.28515625" customWidth="1"/>
    <col min="2" max="2" width="9" customWidth="1"/>
    <col min="3" max="3" width="19.85546875" customWidth="1"/>
    <col min="4" max="4" width="17.5703125" customWidth="1"/>
    <col min="5" max="5" width="9.140625" customWidth="1"/>
    <col min="6" max="6" width="9.42578125" customWidth="1"/>
    <col min="7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214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7426008.5999999996</v>
      </c>
      <c r="D8" s="11">
        <f>D9+D11+D14+D15</f>
        <v>7016201.1600000001</v>
      </c>
    </row>
    <row r="9" spans="1:4" ht="30">
      <c r="A9" s="12" t="s">
        <v>90</v>
      </c>
      <c r="B9" s="13" t="s">
        <v>91</v>
      </c>
      <c r="C9" s="14">
        <f>6388905.56</f>
        <v>6388905.5599999996</v>
      </c>
      <c r="D9" s="15">
        <f>6132946.59</f>
        <v>6132946.5899999999</v>
      </c>
    </row>
    <row r="10" spans="1:4">
      <c r="A10" s="16" t="s">
        <v>92</v>
      </c>
      <c r="B10" s="17" t="s">
        <v>93</v>
      </c>
      <c r="C10" s="18">
        <f>4015234.43932412</f>
        <v>4015234.4393241201</v>
      </c>
      <c r="D10" s="19">
        <f>_14h_E12</f>
        <v>4015234.4393241201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1037103.04</v>
      </c>
      <c r="D15" s="15">
        <f>SUM(D16:D24)</f>
        <v>883254.57000000007</v>
      </c>
    </row>
    <row r="16" spans="1:4">
      <c r="A16" s="22" t="s">
        <v>103</v>
      </c>
      <c r="B16" s="17" t="s">
        <v>104</v>
      </c>
      <c r="C16" s="111">
        <v>835419.72</v>
      </c>
      <c r="D16" s="113">
        <v>707048.13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161392.56</f>
        <v>161392.56</v>
      </c>
      <c r="D18" s="19">
        <f>135906.9</f>
        <v>135906.9</v>
      </c>
    </row>
    <row r="19" spans="1:4">
      <c r="A19" s="22" t="s">
        <v>109</v>
      </c>
      <c r="B19" s="17" t="s">
        <v>110</v>
      </c>
      <c r="C19" s="18">
        <f>23827.62</f>
        <v>23827.62</v>
      </c>
      <c r="D19" s="19">
        <f>23843.62</f>
        <v>23843.62</v>
      </c>
    </row>
    <row r="20" spans="1:4">
      <c r="A20" s="22" t="s">
        <v>111</v>
      </c>
      <c r="B20" s="17" t="s">
        <v>112</v>
      </c>
      <c r="C20" s="18">
        <f>16463.14</f>
        <v>16463.14</v>
      </c>
      <c r="D20" s="19">
        <f>16455.92</f>
        <v>16455.919999999998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3401772.4799999995</v>
      </c>
      <c r="D25" s="15">
        <f>D26+D27+D30+D28+D29+D31</f>
        <v>3955098.2800000003</v>
      </c>
    </row>
    <row r="26" spans="1:4" ht="21" customHeight="1">
      <c r="A26" s="24" t="s">
        <v>123</v>
      </c>
      <c r="B26" s="20" t="s">
        <v>124</v>
      </c>
      <c r="C26" s="18">
        <f>1700559.36</f>
        <v>1700559.36</v>
      </c>
      <c r="D26" s="19">
        <f>1676350.02</f>
        <v>1676350.02</v>
      </c>
    </row>
    <row r="27" spans="1:4" ht="30">
      <c r="A27" s="24" t="s">
        <v>125</v>
      </c>
      <c r="B27" s="20" t="s">
        <v>126</v>
      </c>
      <c r="C27" s="18">
        <f>110150.4</f>
        <v>110150.39999999999</v>
      </c>
      <c r="D27" s="19">
        <f>110158.13</f>
        <v>110158.13</v>
      </c>
    </row>
    <row r="28" spans="1:4" ht="30.7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141965.52</f>
        <v>141965.51999999999</v>
      </c>
      <c r="D29" s="19">
        <f>140724.41</f>
        <v>140724.41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632185.19999999995</v>
      </c>
      <c r="D31" s="15">
        <f>SUM(D32:D39)</f>
        <v>1210953.72</v>
      </c>
    </row>
    <row r="32" spans="1:4" ht="21" customHeight="1">
      <c r="A32" s="24" t="s">
        <v>135</v>
      </c>
      <c r="B32" s="17" t="s">
        <v>136</v>
      </c>
      <c r="C32" s="18">
        <f>91894.23</f>
        <v>91894.23</v>
      </c>
      <c r="D32" s="19">
        <f>91894.28</f>
        <v>91894.28</v>
      </c>
    </row>
    <row r="33" spans="1:4">
      <c r="A33" s="24" t="s">
        <v>137</v>
      </c>
      <c r="B33" s="17" t="s">
        <v>138</v>
      </c>
      <c r="C33" s="18">
        <f>149485.92</f>
        <v>149485.92000000001</v>
      </c>
      <c r="D33" s="19">
        <f>170383.79</f>
        <v>170383.79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256948.42</f>
        <v>256948.42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v>129308.97</v>
      </c>
      <c r="D39" s="19">
        <v>691727.23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7.25" customHeight="1">
      <c r="A43" s="8" t="s">
        <v>157</v>
      </c>
      <c r="B43" s="9" t="s">
        <v>158</v>
      </c>
      <c r="C43" s="26">
        <v>1223183.04</v>
      </c>
      <c r="D43" s="103">
        <v>1223183.04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84910.44</v>
      </c>
      <c r="D45" s="27">
        <f>SUM(D46:D48)</f>
        <v>66292.89</v>
      </c>
    </row>
    <row r="46" spans="1:4">
      <c r="A46" s="21" t="s">
        <v>163</v>
      </c>
      <c r="B46" s="17" t="s">
        <v>164</v>
      </c>
      <c r="C46" s="18">
        <f>82269.12</f>
        <v>82269.119999999995</v>
      </c>
      <c r="D46" s="19">
        <f>63651.57</f>
        <v>63651.57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6">
      <c r="A49" s="8" t="s">
        <v>440</v>
      </c>
      <c r="B49" s="28" t="s">
        <v>168</v>
      </c>
      <c r="C49" s="29">
        <f>959659.44</f>
        <v>959659.44</v>
      </c>
      <c r="D49" s="30">
        <f>834758.63</f>
        <v>834758.63</v>
      </c>
    </row>
    <row r="50" spans="1:6">
      <c r="A50" s="8" t="s">
        <v>169</v>
      </c>
      <c r="B50" s="9" t="s">
        <v>170</v>
      </c>
      <c r="C50" s="14">
        <f>C8+C25+C40+C41+C42+C43+C44+C45+C49+C51+C52</f>
        <v>13095533.999999996</v>
      </c>
      <c r="D50" s="15">
        <f>D8+D25+D40+D41+D42+D43+D44+D45+D49+D51+D52</f>
        <v>13095534.000000002</v>
      </c>
      <c r="F50" s="87"/>
    </row>
    <row r="51" spans="1:6">
      <c r="A51" s="8" t="s">
        <v>171</v>
      </c>
      <c r="B51" s="9" t="s">
        <v>172</v>
      </c>
      <c r="C51" s="26"/>
      <c r="D51" s="27"/>
    </row>
    <row r="52" spans="1:6">
      <c r="A52" s="8" t="s">
        <v>173</v>
      </c>
      <c r="B52" s="9" t="s">
        <v>174</v>
      </c>
      <c r="C52" s="26"/>
      <c r="D52" s="27"/>
    </row>
    <row r="53" spans="1:6" ht="28.5" hidden="1">
      <c r="A53" s="45" t="s">
        <v>175</v>
      </c>
      <c r="B53" s="20"/>
      <c r="C53" s="18"/>
      <c r="D53" s="19"/>
    </row>
    <row r="54" spans="1:6" ht="28.5" hidden="1">
      <c r="A54" s="45" t="s">
        <v>176</v>
      </c>
      <c r="B54" s="9" t="s">
        <v>177</v>
      </c>
      <c r="C54" s="26">
        <f>SUM(C55:C56)</f>
        <v>7755194.1600000001</v>
      </c>
      <c r="D54" s="27">
        <f>SUM(D55:D56)</f>
        <v>0</v>
      </c>
    </row>
    <row r="55" spans="1:6" hidden="1">
      <c r="A55" s="21" t="s">
        <v>178</v>
      </c>
      <c r="B55" s="17" t="s">
        <v>179</v>
      </c>
      <c r="C55" s="18">
        <f>7268507.28</f>
        <v>7268507.2800000003</v>
      </c>
      <c r="D55" s="19">
        <f>0</f>
        <v>0</v>
      </c>
    </row>
    <row r="56" spans="1:6" hidden="1">
      <c r="A56" s="21" t="s">
        <v>180</v>
      </c>
      <c r="B56" s="17" t="s">
        <v>181</v>
      </c>
      <c r="C56" s="18">
        <f>486686.88</f>
        <v>486686.88</v>
      </c>
      <c r="D56" s="19">
        <f>0</f>
        <v>0</v>
      </c>
    </row>
    <row r="57" spans="1:6" ht="28.5" hidden="1">
      <c r="A57" s="45" t="s">
        <v>182</v>
      </c>
      <c r="B57" s="9" t="s">
        <v>183</v>
      </c>
      <c r="C57" s="26"/>
      <c r="D57" s="27"/>
    </row>
    <row r="58" spans="1:6" hidden="1">
      <c r="A58" s="31" t="s">
        <v>184</v>
      </c>
      <c r="B58" s="28" t="s">
        <v>185</v>
      </c>
      <c r="C58" s="29">
        <f>3896088</f>
        <v>3896088</v>
      </c>
      <c r="D58" s="30">
        <f>0</f>
        <v>0</v>
      </c>
    </row>
    <row r="59" spans="1:6" hidden="1">
      <c r="A59" s="45" t="s">
        <v>186</v>
      </c>
      <c r="B59" s="9"/>
      <c r="C59" s="26">
        <f>C54+C57+C58</f>
        <v>11651282.16</v>
      </c>
      <c r="D59" s="27">
        <f>D54+D57+D58</f>
        <v>0</v>
      </c>
    </row>
    <row r="60" spans="1:6" ht="25.5">
      <c r="A60" s="33" t="s">
        <v>188</v>
      </c>
      <c r="B60" s="9"/>
      <c r="C60" s="34">
        <v>48610</v>
      </c>
      <c r="D60" s="35">
        <v>48610</v>
      </c>
    </row>
    <row r="61" spans="1:6" ht="15.75" thickBot="1">
      <c r="A61" s="36" t="s">
        <v>189</v>
      </c>
      <c r="B61" s="37"/>
      <c r="C61" s="38">
        <f>(C50+C51+C52)/C60/12</f>
        <v>22.449999999999992</v>
      </c>
      <c r="D61" s="39">
        <f>(D50+D51+D52)/D60/12</f>
        <v>22.450000000000003</v>
      </c>
    </row>
    <row r="62" spans="1:6">
      <c r="A62" s="40"/>
      <c r="B62" s="41"/>
      <c r="C62" s="41"/>
      <c r="D62" s="41"/>
    </row>
    <row r="63" spans="1:6">
      <c r="A63" s="40"/>
      <c r="B63" s="2"/>
      <c r="C63" s="2"/>
      <c r="D63" s="2"/>
    </row>
    <row r="64" spans="1:6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434</v>
      </c>
      <c r="D7" t="s">
        <v>434</v>
      </c>
    </row>
    <row r="8" spans="3:4">
      <c r="C8" t="s">
        <v>434</v>
      </c>
      <c r="D8" t="s">
        <v>434</v>
      </c>
    </row>
    <row r="9" spans="3:4">
      <c r="C9" t="s">
        <v>434</v>
      </c>
      <c r="D9" t="s">
        <v>434</v>
      </c>
    </row>
    <row r="10" spans="3:4">
      <c r="C10" t="s">
        <v>434</v>
      </c>
      <c r="D10" t="s">
        <v>434</v>
      </c>
    </row>
    <row r="11" spans="3:4">
      <c r="C11" t="s">
        <v>434</v>
      </c>
      <c r="D11" t="s">
        <v>434</v>
      </c>
    </row>
    <row r="12" spans="3:4">
      <c r="C12" t="s">
        <v>434</v>
      </c>
      <c r="D12" t="s">
        <v>434</v>
      </c>
    </row>
    <row r="13" spans="3:4">
      <c r="C13" t="s">
        <v>434</v>
      </c>
      <c r="D13" t="s">
        <v>434</v>
      </c>
    </row>
    <row r="14" spans="3:4">
      <c r="C14" t="s">
        <v>434</v>
      </c>
      <c r="D14" t="s">
        <v>434</v>
      </c>
    </row>
    <row r="15" spans="3:4">
      <c r="C15" t="s">
        <v>434</v>
      </c>
      <c r="D15" t="s">
        <v>434</v>
      </c>
    </row>
    <row r="16" spans="3:4">
      <c r="C16" t="s">
        <v>434</v>
      </c>
      <c r="D16" t="s">
        <v>434</v>
      </c>
    </row>
    <row r="17" spans="3:4">
      <c r="C17" t="s">
        <v>434</v>
      </c>
      <c r="D17" t="s">
        <v>434</v>
      </c>
    </row>
    <row r="18" spans="3:4">
      <c r="C18" t="s">
        <v>434</v>
      </c>
      <c r="D18" t="s">
        <v>434</v>
      </c>
    </row>
    <row r="19" spans="3:4">
      <c r="C19" t="s">
        <v>434</v>
      </c>
      <c r="D19" t="s">
        <v>434</v>
      </c>
    </row>
    <row r="20" spans="3:4">
      <c r="C20" t="s">
        <v>434</v>
      </c>
      <c r="D20" t="s">
        <v>434</v>
      </c>
    </row>
    <row r="21" spans="3:4">
      <c r="C21" t="s">
        <v>434</v>
      </c>
      <c r="D21" t="s">
        <v>434</v>
      </c>
    </row>
    <row r="22" spans="3:4">
      <c r="C22" t="s">
        <v>434</v>
      </c>
      <c r="D22" t="s">
        <v>434</v>
      </c>
    </row>
    <row r="23" spans="3:4">
      <c r="C23" t="s">
        <v>434</v>
      </c>
      <c r="D23" t="s">
        <v>434</v>
      </c>
    </row>
    <row r="24" spans="3:4">
      <c r="C24" t="s">
        <v>434</v>
      </c>
      <c r="D24" t="s">
        <v>434</v>
      </c>
    </row>
    <row r="25" spans="3:4">
      <c r="C25" t="s">
        <v>434</v>
      </c>
      <c r="D25" t="s">
        <v>434</v>
      </c>
    </row>
    <row r="26" spans="3:4">
      <c r="C26" t="s">
        <v>434</v>
      </c>
      <c r="D26" t="s">
        <v>434</v>
      </c>
    </row>
    <row r="27" spans="3:4">
      <c r="C27" t="s">
        <v>434</v>
      </c>
      <c r="D27" t="s">
        <v>434</v>
      </c>
    </row>
    <row r="28" spans="3:4">
      <c r="C28" t="s">
        <v>434</v>
      </c>
      <c r="D28" t="s">
        <v>434</v>
      </c>
    </row>
    <row r="29" spans="3:4">
      <c r="C29" t="s">
        <v>434</v>
      </c>
      <c r="D29" t="s">
        <v>434</v>
      </c>
    </row>
    <row r="30" spans="3:4">
      <c r="C30" t="s">
        <v>434</v>
      </c>
      <c r="D30" t="s">
        <v>434</v>
      </c>
    </row>
    <row r="31" spans="3:4">
      <c r="C31" t="s">
        <v>434</v>
      </c>
      <c r="D31" t="s">
        <v>434</v>
      </c>
    </row>
    <row r="32" spans="3:4">
      <c r="C32" t="s">
        <v>434</v>
      </c>
      <c r="D32" t="s">
        <v>434</v>
      </c>
    </row>
    <row r="33" spans="3:4">
      <c r="C33" t="s">
        <v>434</v>
      </c>
      <c r="D33" t="s">
        <v>434</v>
      </c>
    </row>
    <row r="34" spans="3:4">
      <c r="C34" t="s">
        <v>434</v>
      </c>
      <c r="D34" t="s">
        <v>434</v>
      </c>
    </row>
    <row r="35" spans="3:4">
      <c r="C35" t="s">
        <v>434</v>
      </c>
      <c r="D35" t="s">
        <v>434</v>
      </c>
    </row>
    <row r="36" spans="3:4">
      <c r="C36" t="s">
        <v>434</v>
      </c>
      <c r="D36" t="s">
        <v>434</v>
      </c>
    </row>
    <row r="37" spans="3:4">
      <c r="C37" t="s">
        <v>434</v>
      </c>
      <c r="D37" t="s">
        <v>434</v>
      </c>
    </row>
    <row r="38" spans="3:4">
      <c r="C38" t="s">
        <v>434</v>
      </c>
      <c r="D38" t="s">
        <v>434</v>
      </c>
    </row>
    <row r="39" spans="3:4">
      <c r="C39" t="s">
        <v>434</v>
      </c>
      <c r="D39" t="s">
        <v>434</v>
      </c>
    </row>
    <row r="40" spans="3:4">
      <c r="C40" t="s">
        <v>434</v>
      </c>
      <c r="D40" t="s">
        <v>434</v>
      </c>
    </row>
    <row r="41" spans="3:4">
      <c r="C41" t="s">
        <v>434</v>
      </c>
      <c r="D41" t="s">
        <v>434</v>
      </c>
    </row>
    <row r="42" spans="3:4">
      <c r="C42" t="s">
        <v>434</v>
      </c>
      <c r="D42" t="s">
        <v>434</v>
      </c>
    </row>
    <row r="43" spans="3:4">
      <c r="C43" t="s">
        <v>434</v>
      </c>
      <c r="D43" t="s">
        <v>434</v>
      </c>
    </row>
    <row r="44" spans="3:4">
      <c r="C44" t="s">
        <v>434</v>
      </c>
      <c r="D44" t="s">
        <v>434</v>
      </c>
    </row>
    <row r="45" spans="3:4">
      <c r="C45" t="s">
        <v>434</v>
      </c>
      <c r="D45" t="s">
        <v>434</v>
      </c>
    </row>
    <row r="46" spans="3:4">
      <c r="C46" t="s">
        <v>434</v>
      </c>
      <c r="D46" t="s">
        <v>434</v>
      </c>
    </row>
    <row r="47" spans="3:4">
      <c r="C47" t="s">
        <v>434</v>
      </c>
      <c r="D47" t="s">
        <v>434</v>
      </c>
    </row>
    <row r="48" spans="3:4">
      <c r="C48" t="s">
        <v>434</v>
      </c>
      <c r="D48" t="s">
        <v>434</v>
      </c>
    </row>
    <row r="49" spans="3:4">
      <c r="C49" t="s">
        <v>434</v>
      </c>
      <c r="D49" t="s">
        <v>434</v>
      </c>
    </row>
    <row r="50" spans="3:4">
      <c r="C50" t="s">
        <v>434</v>
      </c>
      <c r="D50" t="s">
        <v>434</v>
      </c>
    </row>
    <row r="51" spans="3:4">
      <c r="C51" t="s">
        <v>434</v>
      </c>
      <c r="D51" t="s">
        <v>434</v>
      </c>
    </row>
    <row r="52" spans="3:4">
      <c r="C52" t="s">
        <v>434</v>
      </c>
      <c r="D52" t="s">
        <v>434</v>
      </c>
    </row>
    <row r="53" spans="3:4">
      <c r="C53" t="s">
        <v>434</v>
      </c>
      <c r="D53" t="s">
        <v>434</v>
      </c>
    </row>
    <row r="54" spans="3:4">
      <c r="C54" t="s">
        <v>434</v>
      </c>
      <c r="D54" t="s">
        <v>434</v>
      </c>
    </row>
    <row r="55" spans="3:4">
      <c r="C55" t="s">
        <v>434</v>
      </c>
      <c r="D55" t="s">
        <v>434</v>
      </c>
    </row>
    <row r="56" spans="3:4">
      <c r="C56" t="s">
        <v>434</v>
      </c>
      <c r="D56" t="s">
        <v>434</v>
      </c>
    </row>
    <row r="57" spans="3:4">
      <c r="C57" t="s">
        <v>434</v>
      </c>
      <c r="D57" t="s">
        <v>434</v>
      </c>
    </row>
    <row r="58" spans="3:4">
      <c r="C58" t="s">
        <v>434</v>
      </c>
      <c r="D58" t="s">
        <v>434</v>
      </c>
    </row>
    <row r="59" spans="3:4">
      <c r="C59" t="s">
        <v>434</v>
      </c>
      <c r="D59" t="s">
        <v>434</v>
      </c>
    </row>
    <row r="60" spans="3:4">
      <c r="C60" t="s">
        <v>434</v>
      </c>
      <c r="D60" t="s">
        <v>434</v>
      </c>
    </row>
    <row r="61" spans="3:4">
      <c r="C61" t="s">
        <v>434</v>
      </c>
      <c r="D61" t="s">
        <v>434</v>
      </c>
    </row>
    <row r="62" spans="3:4">
      <c r="C62" t="s">
        <v>434</v>
      </c>
      <c r="D62" t="s">
        <v>434</v>
      </c>
    </row>
    <row r="63" spans="3:4">
      <c r="C63" t="s">
        <v>434</v>
      </c>
      <c r="D63" t="s">
        <v>434</v>
      </c>
    </row>
    <row r="64" spans="3:4">
      <c r="C64" t="s">
        <v>434</v>
      </c>
      <c r="D64" t="s">
        <v>434</v>
      </c>
    </row>
    <row r="65" spans="3:4">
      <c r="C65" t="s">
        <v>434</v>
      </c>
      <c r="D65" t="s">
        <v>434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432</v>
      </c>
      <c r="D7" t="s">
        <v>432</v>
      </c>
    </row>
    <row r="8" spans="3:4">
      <c r="C8" t="s">
        <v>432</v>
      </c>
      <c r="D8" t="s">
        <v>432</v>
      </c>
    </row>
    <row r="9" spans="3:4">
      <c r="C9" t="s">
        <v>432</v>
      </c>
      <c r="D9" t="s">
        <v>432</v>
      </c>
    </row>
    <row r="10" spans="3:4">
      <c r="C10" t="s">
        <v>432</v>
      </c>
      <c r="D10" t="s">
        <v>432</v>
      </c>
    </row>
    <row r="11" spans="3:4">
      <c r="C11" t="s">
        <v>432</v>
      </c>
      <c r="D11" t="s">
        <v>432</v>
      </c>
    </row>
    <row r="12" spans="3:4">
      <c r="C12" t="s">
        <v>432</v>
      </c>
      <c r="D12" t="s">
        <v>432</v>
      </c>
    </row>
    <row r="13" spans="3:4">
      <c r="C13" t="s">
        <v>432</v>
      </c>
      <c r="D13" t="s">
        <v>432</v>
      </c>
    </row>
    <row r="14" spans="3:4">
      <c r="C14" t="s">
        <v>432</v>
      </c>
      <c r="D14" t="s">
        <v>432</v>
      </c>
    </row>
    <row r="15" spans="3:4">
      <c r="C15" t="s">
        <v>432</v>
      </c>
      <c r="D15" t="s">
        <v>432</v>
      </c>
    </row>
    <row r="16" spans="3:4">
      <c r="C16" t="s">
        <v>432</v>
      </c>
      <c r="D16" t="s">
        <v>432</v>
      </c>
    </row>
    <row r="17" spans="3:4">
      <c r="C17" t="s">
        <v>432</v>
      </c>
      <c r="D17" t="s">
        <v>432</v>
      </c>
    </row>
    <row r="18" spans="3:4">
      <c r="C18" t="s">
        <v>432</v>
      </c>
      <c r="D18" t="s">
        <v>432</v>
      </c>
    </row>
    <row r="19" spans="3:4">
      <c r="C19" t="s">
        <v>432</v>
      </c>
      <c r="D19" t="s">
        <v>432</v>
      </c>
    </row>
    <row r="20" spans="3:4">
      <c r="C20" t="s">
        <v>432</v>
      </c>
      <c r="D20" t="s">
        <v>432</v>
      </c>
    </row>
    <row r="21" spans="3:4">
      <c r="C21" t="s">
        <v>432</v>
      </c>
      <c r="D21" t="s">
        <v>432</v>
      </c>
    </row>
    <row r="22" spans="3:4">
      <c r="C22" t="s">
        <v>432</v>
      </c>
      <c r="D22" t="s">
        <v>432</v>
      </c>
    </row>
    <row r="23" spans="3:4">
      <c r="C23" t="s">
        <v>432</v>
      </c>
      <c r="D23" t="s">
        <v>432</v>
      </c>
    </row>
    <row r="24" spans="3:4">
      <c r="C24" t="s">
        <v>432</v>
      </c>
      <c r="D24" t="s">
        <v>432</v>
      </c>
    </row>
    <row r="25" spans="3:4">
      <c r="C25" t="s">
        <v>432</v>
      </c>
      <c r="D25" t="s">
        <v>432</v>
      </c>
    </row>
    <row r="26" spans="3:4">
      <c r="C26" t="s">
        <v>432</v>
      </c>
      <c r="D26" t="s">
        <v>432</v>
      </c>
    </row>
    <row r="27" spans="3:4">
      <c r="C27" t="s">
        <v>432</v>
      </c>
      <c r="D27" t="s">
        <v>432</v>
      </c>
    </row>
    <row r="28" spans="3:4">
      <c r="C28" t="s">
        <v>432</v>
      </c>
      <c r="D28" t="s">
        <v>432</v>
      </c>
    </row>
    <row r="29" spans="3:4">
      <c r="C29" t="s">
        <v>432</v>
      </c>
      <c r="D29" t="s">
        <v>432</v>
      </c>
    </row>
    <row r="30" spans="3:4">
      <c r="C30" t="s">
        <v>432</v>
      </c>
      <c r="D30" t="s">
        <v>432</v>
      </c>
    </row>
    <row r="31" spans="3:4">
      <c r="C31" t="s">
        <v>432</v>
      </c>
      <c r="D31" t="s">
        <v>432</v>
      </c>
    </row>
    <row r="32" spans="3:4">
      <c r="C32" t="s">
        <v>432</v>
      </c>
      <c r="D32" t="s">
        <v>432</v>
      </c>
    </row>
    <row r="33" spans="3:4">
      <c r="C33" t="s">
        <v>432</v>
      </c>
      <c r="D33" t="s">
        <v>432</v>
      </c>
    </row>
    <row r="34" spans="3:4">
      <c r="C34" t="s">
        <v>432</v>
      </c>
      <c r="D34" t="s">
        <v>432</v>
      </c>
    </row>
    <row r="35" spans="3:4">
      <c r="C35" t="s">
        <v>432</v>
      </c>
      <c r="D35" t="s">
        <v>432</v>
      </c>
    </row>
    <row r="36" spans="3:4">
      <c r="C36" t="s">
        <v>432</v>
      </c>
      <c r="D36" t="s">
        <v>432</v>
      </c>
    </row>
    <row r="37" spans="3:4">
      <c r="C37" t="s">
        <v>432</v>
      </c>
      <c r="D37" t="s">
        <v>432</v>
      </c>
    </row>
    <row r="38" spans="3:4">
      <c r="C38" t="s">
        <v>432</v>
      </c>
      <c r="D38" t="s">
        <v>432</v>
      </c>
    </row>
    <row r="39" spans="3:4">
      <c r="C39" t="s">
        <v>432</v>
      </c>
      <c r="D39" t="s">
        <v>432</v>
      </c>
    </row>
    <row r="40" spans="3:4">
      <c r="C40" t="s">
        <v>432</v>
      </c>
      <c r="D40" t="s">
        <v>432</v>
      </c>
    </row>
    <row r="41" spans="3:4">
      <c r="C41" t="s">
        <v>432</v>
      </c>
      <c r="D41" t="s">
        <v>432</v>
      </c>
    </row>
    <row r="42" spans="3:4">
      <c r="C42" t="s">
        <v>432</v>
      </c>
      <c r="D42" t="s">
        <v>432</v>
      </c>
    </row>
    <row r="43" spans="3:4">
      <c r="C43" t="s">
        <v>432</v>
      </c>
      <c r="D43" t="s">
        <v>432</v>
      </c>
    </row>
    <row r="44" spans="3:4">
      <c r="C44" t="s">
        <v>432</v>
      </c>
      <c r="D44" t="s">
        <v>432</v>
      </c>
    </row>
    <row r="45" spans="3:4">
      <c r="C45" t="s">
        <v>432</v>
      </c>
      <c r="D45" t="s">
        <v>432</v>
      </c>
    </row>
    <row r="46" spans="3:4">
      <c r="C46" t="s">
        <v>432</v>
      </c>
      <c r="D46" t="s">
        <v>432</v>
      </c>
    </row>
    <row r="47" spans="3:4">
      <c r="C47" t="s">
        <v>432</v>
      </c>
      <c r="D47" t="s">
        <v>432</v>
      </c>
    </row>
    <row r="48" spans="3:4">
      <c r="C48" t="s">
        <v>432</v>
      </c>
      <c r="D48" t="s">
        <v>432</v>
      </c>
    </row>
    <row r="49" spans="3:4">
      <c r="C49" t="s">
        <v>432</v>
      </c>
      <c r="D49" t="s">
        <v>432</v>
      </c>
    </row>
    <row r="50" spans="3:4">
      <c r="C50" t="s">
        <v>432</v>
      </c>
      <c r="D50" t="s">
        <v>432</v>
      </c>
    </row>
    <row r="51" spans="3:4">
      <c r="C51" t="s">
        <v>432</v>
      </c>
      <c r="D51" t="s">
        <v>432</v>
      </c>
    </row>
    <row r="52" spans="3:4">
      <c r="C52" t="s">
        <v>432</v>
      </c>
      <c r="D52" t="s">
        <v>432</v>
      </c>
    </row>
    <row r="53" spans="3:4">
      <c r="C53" t="s">
        <v>432</v>
      </c>
      <c r="D53" t="s">
        <v>432</v>
      </c>
    </row>
    <row r="54" spans="3:4">
      <c r="C54" t="s">
        <v>432</v>
      </c>
      <c r="D54" t="s">
        <v>432</v>
      </c>
    </row>
    <row r="55" spans="3:4">
      <c r="C55" t="s">
        <v>432</v>
      </c>
      <c r="D55" t="s">
        <v>432</v>
      </c>
    </row>
    <row r="56" spans="3:4">
      <c r="C56" t="s">
        <v>432</v>
      </c>
      <c r="D56" t="s">
        <v>432</v>
      </c>
    </row>
    <row r="57" spans="3:4">
      <c r="C57" t="s">
        <v>432</v>
      </c>
      <c r="D57" t="s">
        <v>432</v>
      </c>
    </row>
    <row r="58" spans="3:4">
      <c r="C58" t="s">
        <v>432</v>
      </c>
      <c r="D58" t="s">
        <v>432</v>
      </c>
    </row>
    <row r="59" spans="3:4">
      <c r="C59" t="s">
        <v>432</v>
      </c>
      <c r="D59" t="s">
        <v>432</v>
      </c>
    </row>
    <row r="60" spans="3:4">
      <c r="C60" t="s">
        <v>432</v>
      </c>
      <c r="D60" t="s">
        <v>432</v>
      </c>
    </row>
    <row r="61" spans="3:4">
      <c r="C61" t="s">
        <v>432</v>
      </c>
      <c r="D61" t="s">
        <v>432</v>
      </c>
    </row>
    <row r="62" spans="3:4">
      <c r="C62" t="s">
        <v>432</v>
      </c>
      <c r="D62" t="s">
        <v>432</v>
      </c>
    </row>
    <row r="63" spans="3:4">
      <c r="C63" t="s">
        <v>432</v>
      </c>
      <c r="D63" t="s">
        <v>432</v>
      </c>
    </row>
    <row r="64" spans="3:4">
      <c r="C64" t="s">
        <v>432</v>
      </c>
      <c r="D64" t="s">
        <v>432</v>
      </c>
    </row>
    <row r="65" spans="3:4">
      <c r="C65" t="s">
        <v>432</v>
      </c>
      <c r="D65" t="s">
        <v>432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430</v>
      </c>
      <c r="D7" t="s">
        <v>430</v>
      </c>
    </row>
    <row r="8" spans="3:4">
      <c r="C8" t="s">
        <v>430</v>
      </c>
      <c r="D8" t="s">
        <v>430</v>
      </c>
    </row>
    <row r="9" spans="3:4">
      <c r="C9" t="s">
        <v>430</v>
      </c>
      <c r="D9" t="s">
        <v>430</v>
      </c>
    </row>
    <row r="10" spans="3:4">
      <c r="C10" t="s">
        <v>430</v>
      </c>
      <c r="D10" t="s">
        <v>430</v>
      </c>
    </row>
    <row r="11" spans="3:4">
      <c r="C11" t="s">
        <v>430</v>
      </c>
      <c r="D11" t="s">
        <v>430</v>
      </c>
    </row>
    <row r="12" spans="3:4">
      <c r="C12" t="s">
        <v>430</v>
      </c>
      <c r="D12" t="s">
        <v>430</v>
      </c>
    </row>
    <row r="13" spans="3:4">
      <c r="C13" t="s">
        <v>430</v>
      </c>
      <c r="D13" t="s">
        <v>430</v>
      </c>
    </row>
    <row r="14" spans="3:4">
      <c r="C14" t="s">
        <v>430</v>
      </c>
      <c r="D14" t="s">
        <v>430</v>
      </c>
    </row>
    <row r="15" spans="3:4">
      <c r="C15" t="s">
        <v>430</v>
      </c>
      <c r="D15" t="s">
        <v>430</v>
      </c>
    </row>
    <row r="16" spans="3:4">
      <c r="C16" t="s">
        <v>430</v>
      </c>
      <c r="D16" t="s">
        <v>430</v>
      </c>
    </row>
    <row r="17" spans="3:4">
      <c r="C17" t="s">
        <v>430</v>
      </c>
      <c r="D17" t="s">
        <v>430</v>
      </c>
    </row>
    <row r="18" spans="3:4">
      <c r="C18" t="s">
        <v>430</v>
      </c>
      <c r="D18" t="s">
        <v>430</v>
      </c>
    </row>
    <row r="19" spans="3:4">
      <c r="C19" t="s">
        <v>430</v>
      </c>
      <c r="D19" t="s">
        <v>430</v>
      </c>
    </row>
    <row r="20" spans="3:4">
      <c r="C20" t="s">
        <v>430</v>
      </c>
      <c r="D20" t="s">
        <v>430</v>
      </c>
    </row>
    <row r="21" spans="3:4">
      <c r="C21" t="s">
        <v>430</v>
      </c>
      <c r="D21" t="s">
        <v>430</v>
      </c>
    </row>
    <row r="22" spans="3:4">
      <c r="C22" t="s">
        <v>430</v>
      </c>
      <c r="D22" t="s">
        <v>430</v>
      </c>
    </row>
    <row r="23" spans="3:4">
      <c r="C23" t="s">
        <v>430</v>
      </c>
      <c r="D23" t="s">
        <v>430</v>
      </c>
    </row>
    <row r="24" spans="3:4">
      <c r="C24" t="s">
        <v>430</v>
      </c>
      <c r="D24" t="s">
        <v>430</v>
      </c>
    </row>
    <row r="25" spans="3:4">
      <c r="C25" t="s">
        <v>430</v>
      </c>
      <c r="D25" t="s">
        <v>430</v>
      </c>
    </row>
    <row r="26" spans="3:4">
      <c r="C26" t="s">
        <v>430</v>
      </c>
      <c r="D26" t="s">
        <v>430</v>
      </c>
    </row>
    <row r="27" spans="3:4">
      <c r="C27" t="s">
        <v>430</v>
      </c>
      <c r="D27" t="s">
        <v>430</v>
      </c>
    </row>
    <row r="28" spans="3:4">
      <c r="C28" t="s">
        <v>430</v>
      </c>
      <c r="D28" t="s">
        <v>430</v>
      </c>
    </row>
    <row r="29" spans="3:4">
      <c r="C29" t="s">
        <v>430</v>
      </c>
      <c r="D29" t="s">
        <v>430</v>
      </c>
    </row>
    <row r="30" spans="3:4">
      <c r="C30" t="s">
        <v>430</v>
      </c>
      <c r="D30" t="s">
        <v>430</v>
      </c>
    </row>
    <row r="31" spans="3:4">
      <c r="C31" t="s">
        <v>430</v>
      </c>
      <c r="D31" t="s">
        <v>430</v>
      </c>
    </row>
    <row r="32" spans="3:4">
      <c r="C32" t="s">
        <v>430</v>
      </c>
      <c r="D32" t="s">
        <v>430</v>
      </c>
    </row>
    <row r="33" spans="3:4">
      <c r="C33" t="s">
        <v>430</v>
      </c>
      <c r="D33" t="s">
        <v>430</v>
      </c>
    </row>
    <row r="34" spans="3:4">
      <c r="C34" t="s">
        <v>430</v>
      </c>
      <c r="D34" t="s">
        <v>430</v>
      </c>
    </row>
    <row r="35" spans="3:4">
      <c r="C35" t="s">
        <v>430</v>
      </c>
      <c r="D35" t="s">
        <v>430</v>
      </c>
    </row>
    <row r="36" spans="3:4">
      <c r="C36" t="s">
        <v>430</v>
      </c>
      <c r="D36" t="s">
        <v>430</v>
      </c>
    </row>
    <row r="37" spans="3:4">
      <c r="C37" t="s">
        <v>430</v>
      </c>
      <c r="D37" t="s">
        <v>430</v>
      </c>
    </row>
    <row r="38" spans="3:4">
      <c r="C38" t="s">
        <v>430</v>
      </c>
      <c r="D38" t="s">
        <v>430</v>
      </c>
    </row>
    <row r="39" spans="3:4">
      <c r="C39" t="s">
        <v>430</v>
      </c>
      <c r="D39" t="s">
        <v>430</v>
      </c>
    </row>
    <row r="40" spans="3:4">
      <c r="C40" t="s">
        <v>430</v>
      </c>
      <c r="D40" t="s">
        <v>430</v>
      </c>
    </row>
    <row r="41" spans="3:4">
      <c r="C41" t="s">
        <v>430</v>
      </c>
      <c r="D41" t="s">
        <v>430</v>
      </c>
    </row>
    <row r="42" spans="3:4">
      <c r="C42" t="s">
        <v>430</v>
      </c>
      <c r="D42" t="s">
        <v>430</v>
      </c>
    </row>
    <row r="43" spans="3:4">
      <c r="C43" t="s">
        <v>430</v>
      </c>
      <c r="D43" t="s">
        <v>430</v>
      </c>
    </row>
    <row r="44" spans="3:4">
      <c r="C44" t="s">
        <v>430</v>
      </c>
      <c r="D44" t="s">
        <v>430</v>
      </c>
    </row>
    <row r="45" spans="3:4">
      <c r="C45" t="s">
        <v>430</v>
      </c>
      <c r="D45" t="s">
        <v>430</v>
      </c>
    </row>
    <row r="46" spans="3:4">
      <c r="C46" t="s">
        <v>430</v>
      </c>
      <c r="D46" t="s">
        <v>430</v>
      </c>
    </row>
    <row r="47" spans="3:4">
      <c r="C47" t="s">
        <v>430</v>
      </c>
      <c r="D47" t="s">
        <v>430</v>
      </c>
    </row>
    <row r="48" spans="3:4">
      <c r="C48" t="s">
        <v>430</v>
      </c>
      <c r="D48" t="s">
        <v>430</v>
      </c>
    </row>
    <row r="49" spans="3:4">
      <c r="C49" t="s">
        <v>430</v>
      </c>
      <c r="D49" t="s">
        <v>430</v>
      </c>
    </row>
    <row r="50" spans="3:4">
      <c r="C50" t="s">
        <v>430</v>
      </c>
      <c r="D50" t="s">
        <v>430</v>
      </c>
    </row>
    <row r="51" spans="3:4">
      <c r="C51" t="s">
        <v>430</v>
      </c>
      <c r="D51" t="s">
        <v>430</v>
      </c>
    </row>
    <row r="52" spans="3:4">
      <c r="C52" t="s">
        <v>430</v>
      </c>
      <c r="D52" t="s">
        <v>430</v>
      </c>
    </row>
    <row r="53" spans="3:4">
      <c r="C53" t="s">
        <v>430</v>
      </c>
      <c r="D53" t="s">
        <v>430</v>
      </c>
    </row>
    <row r="54" spans="3:4">
      <c r="C54" t="s">
        <v>430</v>
      </c>
      <c r="D54" t="s">
        <v>430</v>
      </c>
    </row>
    <row r="55" spans="3:4">
      <c r="C55" t="s">
        <v>430</v>
      </c>
      <c r="D55" t="s">
        <v>430</v>
      </c>
    </row>
    <row r="56" spans="3:4">
      <c r="C56" t="s">
        <v>430</v>
      </c>
      <c r="D56" t="s">
        <v>430</v>
      </c>
    </row>
    <row r="57" spans="3:4">
      <c r="C57" t="s">
        <v>430</v>
      </c>
      <c r="D57" t="s">
        <v>430</v>
      </c>
    </row>
    <row r="58" spans="3:4">
      <c r="C58" t="s">
        <v>430</v>
      </c>
      <c r="D58" t="s">
        <v>430</v>
      </c>
    </row>
    <row r="59" spans="3:4">
      <c r="C59" t="s">
        <v>430</v>
      </c>
      <c r="D59" t="s">
        <v>430</v>
      </c>
    </row>
    <row r="60" spans="3:4">
      <c r="C60" t="s">
        <v>430</v>
      </c>
      <c r="D60" t="s">
        <v>430</v>
      </c>
    </row>
    <row r="61" spans="3:4">
      <c r="C61" t="s">
        <v>430</v>
      </c>
      <c r="D61" t="s">
        <v>430</v>
      </c>
    </row>
    <row r="62" spans="3:4">
      <c r="C62" t="s">
        <v>430</v>
      </c>
      <c r="D62" t="s">
        <v>430</v>
      </c>
    </row>
    <row r="63" spans="3:4">
      <c r="C63" t="s">
        <v>430</v>
      </c>
      <c r="D63" t="s">
        <v>430</v>
      </c>
    </row>
    <row r="64" spans="3:4">
      <c r="C64" t="s">
        <v>430</v>
      </c>
      <c r="D64" t="s">
        <v>430</v>
      </c>
    </row>
    <row r="65" spans="3:4">
      <c r="C65" t="s">
        <v>430</v>
      </c>
      <c r="D65" t="s">
        <v>430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428</v>
      </c>
      <c r="D7" t="s">
        <v>428</v>
      </c>
    </row>
    <row r="8" spans="3:4">
      <c r="C8" t="s">
        <v>428</v>
      </c>
      <c r="D8" t="s">
        <v>428</v>
      </c>
    </row>
    <row r="9" spans="3:4">
      <c r="C9" t="s">
        <v>428</v>
      </c>
      <c r="D9" t="s">
        <v>428</v>
      </c>
    </row>
    <row r="10" spans="3:4">
      <c r="C10" t="s">
        <v>428</v>
      </c>
      <c r="D10" t="s">
        <v>428</v>
      </c>
    </row>
    <row r="11" spans="3:4">
      <c r="C11" t="s">
        <v>428</v>
      </c>
      <c r="D11" t="s">
        <v>428</v>
      </c>
    </row>
    <row r="12" spans="3:4">
      <c r="C12" t="s">
        <v>428</v>
      </c>
      <c r="D12" t="s">
        <v>428</v>
      </c>
    </row>
    <row r="13" spans="3:4">
      <c r="C13" t="s">
        <v>428</v>
      </c>
      <c r="D13" t="s">
        <v>428</v>
      </c>
    </row>
    <row r="14" spans="3:4">
      <c r="C14" t="s">
        <v>428</v>
      </c>
      <c r="D14" t="s">
        <v>428</v>
      </c>
    </row>
    <row r="15" spans="3:4">
      <c r="C15" t="s">
        <v>428</v>
      </c>
      <c r="D15" t="s">
        <v>428</v>
      </c>
    </row>
    <row r="16" spans="3:4">
      <c r="C16" t="s">
        <v>428</v>
      </c>
      <c r="D16" t="s">
        <v>428</v>
      </c>
    </row>
    <row r="17" spans="3:4">
      <c r="C17" t="s">
        <v>428</v>
      </c>
      <c r="D17" t="s">
        <v>428</v>
      </c>
    </row>
    <row r="18" spans="3:4">
      <c r="C18" t="s">
        <v>428</v>
      </c>
      <c r="D18" t="s">
        <v>428</v>
      </c>
    </row>
    <row r="19" spans="3:4">
      <c r="C19" t="s">
        <v>428</v>
      </c>
      <c r="D19" t="s">
        <v>428</v>
      </c>
    </row>
    <row r="20" spans="3:4">
      <c r="C20" t="s">
        <v>428</v>
      </c>
      <c r="D20" t="s">
        <v>428</v>
      </c>
    </row>
    <row r="21" spans="3:4">
      <c r="C21" t="s">
        <v>428</v>
      </c>
      <c r="D21" t="s">
        <v>428</v>
      </c>
    </row>
    <row r="22" spans="3:4">
      <c r="C22" t="s">
        <v>428</v>
      </c>
      <c r="D22" t="s">
        <v>428</v>
      </c>
    </row>
    <row r="23" spans="3:4">
      <c r="C23" t="s">
        <v>428</v>
      </c>
      <c r="D23" t="s">
        <v>428</v>
      </c>
    </row>
    <row r="24" spans="3:4">
      <c r="C24" t="s">
        <v>428</v>
      </c>
      <c r="D24" t="s">
        <v>428</v>
      </c>
    </row>
    <row r="25" spans="3:4">
      <c r="C25" t="s">
        <v>428</v>
      </c>
      <c r="D25" t="s">
        <v>428</v>
      </c>
    </row>
    <row r="26" spans="3:4">
      <c r="C26" t="s">
        <v>428</v>
      </c>
      <c r="D26" t="s">
        <v>428</v>
      </c>
    </row>
    <row r="27" spans="3:4">
      <c r="C27" t="s">
        <v>428</v>
      </c>
      <c r="D27" t="s">
        <v>428</v>
      </c>
    </row>
    <row r="28" spans="3:4">
      <c r="C28" t="s">
        <v>428</v>
      </c>
      <c r="D28" t="s">
        <v>428</v>
      </c>
    </row>
    <row r="29" spans="3:4">
      <c r="C29" t="s">
        <v>428</v>
      </c>
      <c r="D29" t="s">
        <v>428</v>
      </c>
    </row>
    <row r="30" spans="3:4">
      <c r="C30" t="s">
        <v>428</v>
      </c>
      <c r="D30" t="s">
        <v>428</v>
      </c>
    </row>
    <row r="31" spans="3:4">
      <c r="C31" t="s">
        <v>428</v>
      </c>
      <c r="D31" t="s">
        <v>428</v>
      </c>
    </row>
    <row r="32" spans="3:4">
      <c r="C32" t="s">
        <v>428</v>
      </c>
      <c r="D32" t="s">
        <v>428</v>
      </c>
    </row>
    <row r="33" spans="3:4">
      <c r="C33" t="s">
        <v>428</v>
      </c>
      <c r="D33" t="s">
        <v>428</v>
      </c>
    </row>
    <row r="34" spans="3:4">
      <c r="C34" t="s">
        <v>428</v>
      </c>
      <c r="D34" t="s">
        <v>428</v>
      </c>
    </row>
    <row r="35" spans="3:4">
      <c r="C35" t="s">
        <v>428</v>
      </c>
      <c r="D35" t="s">
        <v>428</v>
      </c>
    </row>
    <row r="36" spans="3:4">
      <c r="C36" t="s">
        <v>428</v>
      </c>
      <c r="D36" t="s">
        <v>428</v>
      </c>
    </row>
    <row r="37" spans="3:4">
      <c r="C37" t="s">
        <v>428</v>
      </c>
      <c r="D37" t="s">
        <v>428</v>
      </c>
    </row>
    <row r="38" spans="3:4">
      <c r="C38" t="s">
        <v>428</v>
      </c>
      <c r="D38" t="s">
        <v>428</v>
      </c>
    </row>
    <row r="39" spans="3:4">
      <c r="C39" t="s">
        <v>428</v>
      </c>
      <c r="D39" t="s">
        <v>428</v>
      </c>
    </row>
    <row r="40" spans="3:4">
      <c r="C40" t="s">
        <v>428</v>
      </c>
      <c r="D40" t="s">
        <v>428</v>
      </c>
    </row>
    <row r="41" spans="3:4">
      <c r="C41" t="s">
        <v>428</v>
      </c>
      <c r="D41" t="s">
        <v>428</v>
      </c>
    </row>
    <row r="42" spans="3:4">
      <c r="C42" t="s">
        <v>428</v>
      </c>
      <c r="D42" t="s">
        <v>428</v>
      </c>
    </row>
    <row r="43" spans="3:4">
      <c r="C43" t="s">
        <v>428</v>
      </c>
      <c r="D43" t="s">
        <v>428</v>
      </c>
    </row>
    <row r="44" spans="3:4">
      <c r="C44" t="s">
        <v>428</v>
      </c>
      <c r="D44" t="s">
        <v>428</v>
      </c>
    </row>
    <row r="45" spans="3:4">
      <c r="C45" t="s">
        <v>428</v>
      </c>
      <c r="D45" t="s">
        <v>428</v>
      </c>
    </row>
    <row r="46" spans="3:4">
      <c r="C46" t="s">
        <v>428</v>
      </c>
      <c r="D46" t="s">
        <v>428</v>
      </c>
    </row>
    <row r="47" spans="3:4">
      <c r="C47" t="s">
        <v>428</v>
      </c>
      <c r="D47" t="s">
        <v>428</v>
      </c>
    </row>
    <row r="48" spans="3:4">
      <c r="C48" t="s">
        <v>428</v>
      </c>
      <c r="D48" t="s">
        <v>428</v>
      </c>
    </row>
    <row r="49" spans="3:4">
      <c r="C49" t="s">
        <v>428</v>
      </c>
      <c r="D49" t="s">
        <v>428</v>
      </c>
    </row>
    <row r="50" spans="3:4">
      <c r="C50" t="s">
        <v>428</v>
      </c>
      <c r="D50" t="s">
        <v>428</v>
      </c>
    </row>
    <row r="51" spans="3:4">
      <c r="C51" t="s">
        <v>428</v>
      </c>
      <c r="D51" t="s">
        <v>428</v>
      </c>
    </row>
    <row r="52" spans="3:4">
      <c r="C52" t="s">
        <v>428</v>
      </c>
      <c r="D52" t="s">
        <v>428</v>
      </c>
    </row>
    <row r="53" spans="3:4">
      <c r="C53" t="s">
        <v>428</v>
      </c>
      <c r="D53" t="s">
        <v>428</v>
      </c>
    </row>
    <row r="54" spans="3:4">
      <c r="C54" t="s">
        <v>428</v>
      </c>
      <c r="D54" t="s">
        <v>428</v>
      </c>
    </row>
    <row r="55" spans="3:4">
      <c r="C55" t="s">
        <v>428</v>
      </c>
      <c r="D55" t="s">
        <v>428</v>
      </c>
    </row>
    <row r="56" spans="3:4">
      <c r="C56" t="s">
        <v>428</v>
      </c>
      <c r="D56" t="s">
        <v>428</v>
      </c>
    </row>
    <row r="57" spans="3:4">
      <c r="C57" t="s">
        <v>428</v>
      </c>
      <c r="D57" t="s">
        <v>428</v>
      </c>
    </row>
    <row r="58" spans="3:4">
      <c r="C58" t="s">
        <v>428</v>
      </c>
      <c r="D58" t="s">
        <v>428</v>
      </c>
    </row>
    <row r="59" spans="3:4">
      <c r="C59" t="s">
        <v>428</v>
      </c>
      <c r="D59" t="s">
        <v>428</v>
      </c>
    </row>
    <row r="60" spans="3:4">
      <c r="C60" t="s">
        <v>428</v>
      </c>
      <c r="D60" t="s">
        <v>428</v>
      </c>
    </row>
    <row r="61" spans="3:4">
      <c r="C61" t="s">
        <v>428</v>
      </c>
      <c r="D61" t="s">
        <v>428</v>
      </c>
    </row>
    <row r="62" spans="3:4">
      <c r="C62" t="s">
        <v>428</v>
      </c>
      <c r="D62" t="s">
        <v>428</v>
      </c>
    </row>
    <row r="63" spans="3:4">
      <c r="C63" t="s">
        <v>428</v>
      </c>
      <c r="D63" t="s">
        <v>428</v>
      </c>
    </row>
    <row r="64" spans="3:4">
      <c r="C64" t="s">
        <v>428</v>
      </c>
      <c r="D64" t="s">
        <v>428</v>
      </c>
    </row>
    <row r="65" spans="3:4">
      <c r="C65" t="s">
        <v>428</v>
      </c>
      <c r="D65" t="s">
        <v>428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426</v>
      </c>
      <c r="D7" t="s">
        <v>426</v>
      </c>
    </row>
    <row r="8" spans="3:4">
      <c r="C8" t="s">
        <v>426</v>
      </c>
      <c r="D8" t="s">
        <v>426</v>
      </c>
    </row>
    <row r="9" spans="3:4">
      <c r="C9" t="s">
        <v>426</v>
      </c>
      <c r="D9" t="s">
        <v>426</v>
      </c>
    </row>
    <row r="10" spans="3:4">
      <c r="C10" t="s">
        <v>426</v>
      </c>
      <c r="D10" t="s">
        <v>426</v>
      </c>
    </row>
    <row r="11" spans="3:4">
      <c r="C11" t="s">
        <v>426</v>
      </c>
      <c r="D11" t="s">
        <v>426</v>
      </c>
    </row>
    <row r="12" spans="3:4">
      <c r="C12" t="s">
        <v>426</v>
      </c>
      <c r="D12" t="s">
        <v>426</v>
      </c>
    </row>
    <row r="13" spans="3:4">
      <c r="C13" t="s">
        <v>426</v>
      </c>
      <c r="D13" t="s">
        <v>426</v>
      </c>
    </row>
    <row r="14" spans="3:4">
      <c r="C14" t="s">
        <v>426</v>
      </c>
      <c r="D14" t="s">
        <v>426</v>
      </c>
    </row>
    <row r="15" spans="3:4">
      <c r="C15" t="s">
        <v>426</v>
      </c>
      <c r="D15" t="s">
        <v>426</v>
      </c>
    </row>
    <row r="16" spans="3:4">
      <c r="C16" t="s">
        <v>426</v>
      </c>
      <c r="D16" t="s">
        <v>426</v>
      </c>
    </row>
    <row r="17" spans="3:4">
      <c r="C17" t="s">
        <v>426</v>
      </c>
      <c r="D17" t="s">
        <v>426</v>
      </c>
    </row>
    <row r="18" spans="3:4">
      <c r="C18" t="s">
        <v>426</v>
      </c>
      <c r="D18" t="s">
        <v>426</v>
      </c>
    </row>
    <row r="19" spans="3:4">
      <c r="C19" t="s">
        <v>426</v>
      </c>
      <c r="D19" t="s">
        <v>426</v>
      </c>
    </row>
    <row r="20" spans="3:4">
      <c r="C20" t="s">
        <v>426</v>
      </c>
      <c r="D20" t="s">
        <v>426</v>
      </c>
    </row>
    <row r="21" spans="3:4">
      <c r="C21" t="s">
        <v>426</v>
      </c>
      <c r="D21" t="s">
        <v>426</v>
      </c>
    </row>
    <row r="22" spans="3:4">
      <c r="C22" t="s">
        <v>426</v>
      </c>
      <c r="D22" t="s">
        <v>426</v>
      </c>
    </row>
    <row r="23" spans="3:4">
      <c r="C23" t="s">
        <v>426</v>
      </c>
      <c r="D23" t="s">
        <v>426</v>
      </c>
    </row>
    <row r="24" spans="3:4">
      <c r="C24" t="s">
        <v>426</v>
      </c>
      <c r="D24" t="s">
        <v>426</v>
      </c>
    </row>
    <row r="25" spans="3:4">
      <c r="C25" t="s">
        <v>426</v>
      </c>
      <c r="D25" t="s">
        <v>426</v>
      </c>
    </row>
    <row r="26" spans="3:4">
      <c r="C26" t="s">
        <v>426</v>
      </c>
      <c r="D26" t="s">
        <v>426</v>
      </c>
    </row>
    <row r="27" spans="3:4">
      <c r="C27" t="s">
        <v>426</v>
      </c>
      <c r="D27" t="s">
        <v>426</v>
      </c>
    </row>
    <row r="28" spans="3:4">
      <c r="C28" t="s">
        <v>426</v>
      </c>
      <c r="D28" t="s">
        <v>426</v>
      </c>
    </row>
    <row r="29" spans="3:4">
      <c r="C29" t="s">
        <v>426</v>
      </c>
      <c r="D29" t="s">
        <v>426</v>
      </c>
    </row>
    <row r="30" spans="3:4">
      <c r="C30" t="s">
        <v>426</v>
      </c>
      <c r="D30" t="s">
        <v>426</v>
      </c>
    </row>
    <row r="31" spans="3:4">
      <c r="C31" t="s">
        <v>426</v>
      </c>
      <c r="D31" t="s">
        <v>426</v>
      </c>
    </row>
    <row r="32" spans="3:4">
      <c r="C32" t="s">
        <v>426</v>
      </c>
      <c r="D32" t="s">
        <v>426</v>
      </c>
    </row>
    <row r="33" spans="3:4">
      <c r="C33" t="s">
        <v>426</v>
      </c>
      <c r="D33" t="s">
        <v>426</v>
      </c>
    </row>
    <row r="34" spans="3:4">
      <c r="C34" t="s">
        <v>426</v>
      </c>
      <c r="D34" t="s">
        <v>426</v>
      </c>
    </row>
    <row r="35" spans="3:4">
      <c r="C35" t="s">
        <v>426</v>
      </c>
      <c r="D35" t="s">
        <v>426</v>
      </c>
    </row>
    <row r="36" spans="3:4">
      <c r="C36" t="s">
        <v>426</v>
      </c>
      <c r="D36" t="s">
        <v>426</v>
      </c>
    </row>
    <row r="37" spans="3:4">
      <c r="C37" t="s">
        <v>426</v>
      </c>
      <c r="D37" t="s">
        <v>426</v>
      </c>
    </row>
    <row r="38" spans="3:4">
      <c r="C38" t="s">
        <v>426</v>
      </c>
      <c r="D38" t="s">
        <v>426</v>
      </c>
    </row>
    <row r="39" spans="3:4">
      <c r="C39" t="s">
        <v>426</v>
      </c>
      <c r="D39" t="s">
        <v>426</v>
      </c>
    </row>
    <row r="40" spans="3:4">
      <c r="C40" t="s">
        <v>426</v>
      </c>
      <c r="D40" t="s">
        <v>426</v>
      </c>
    </row>
    <row r="41" spans="3:4">
      <c r="C41" t="s">
        <v>426</v>
      </c>
      <c r="D41" t="s">
        <v>426</v>
      </c>
    </row>
    <row r="42" spans="3:4">
      <c r="C42" t="s">
        <v>426</v>
      </c>
      <c r="D42" t="s">
        <v>426</v>
      </c>
    </row>
    <row r="43" spans="3:4">
      <c r="C43" t="s">
        <v>426</v>
      </c>
      <c r="D43" t="s">
        <v>426</v>
      </c>
    </row>
    <row r="44" spans="3:4">
      <c r="C44" t="s">
        <v>426</v>
      </c>
      <c r="D44" t="s">
        <v>426</v>
      </c>
    </row>
    <row r="45" spans="3:4">
      <c r="C45" t="s">
        <v>426</v>
      </c>
      <c r="D45" t="s">
        <v>426</v>
      </c>
    </row>
    <row r="46" spans="3:4">
      <c r="C46" t="s">
        <v>426</v>
      </c>
      <c r="D46" t="s">
        <v>426</v>
      </c>
    </row>
    <row r="47" spans="3:4">
      <c r="C47" t="s">
        <v>426</v>
      </c>
      <c r="D47" t="s">
        <v>426</v>
      </c>
    </row>
    <row r="48" spans="3:4">
      <c r="C48" t="s">
        <v>426</v>
      </c>
      <c r="D48" t="s">
        <v>426</v>
      </c>
    </row>
    <row r="49" spans="3:4">
      <c r="C49" t="s">
        <v>426</v>
      </c>
      <c r="D49" t="s">
        <v>426</v>
      </c>
    </row>
    <row r="50" spans="3:4">
      <c r="C50" t="s">
        <v>426</v>
      </c>
      <c r="D50" t="s">
        <v>426</v>
      </c>
    </row>
    <row r="51" spans="3:4">
      <c r="C51" t="s">
        <v>426</v>
      </c>
      <c r="D51" t="s">
        <v>426</v>
      </c>
    </row>
    <row r="52" spans="3:4">
      <c r="C52" t="s">
        <v>426</v>
      </c>
      <c r="D52" t="s">
        <v>426</v>
      </c>
    </row>
    <row r="53" spans="3:4">
      <c r="C53" t="s">
        <v>426</v>
      </c>
      <c r="D53" t="s">
        <v>426</v>
      </c>
    </row>
    <row r="54" spans="3:4">
      <c r="C54" t="s">
        <v>426</v>
      </c>
      <c r="D54" t="s">
        <v>426</v>
      </c>
    </row>
    <row r="55" spans="3:4">
      <c r="C55" t="s">
        <v>426</v>
      </c>
      <c r="D55" t="s">
        <v>426</v>
      </c>
    </row>
    <row r="56" spans="3:4">
      <c r="C56" t="s">
        <v>426</v>
      </c>
      <c r="D56" t="s">
        <v>426</v>
      </c>
    </row>
    <row r="57" spans="3:4">
      <c r="C57" t="s">
        <v>426</v>
      </c>
      <c r="D57" t="s">
        <v>426</v>
      </c>
    </row>
    <row r="58" spans="3:4">
      <c r="C58" t="s">
        <v>426</v>
      </c>
      <c r="D58" t="s">
        <v>426</v>
      </c>
    </row>
    <row r="59" spans="3:4">
      <c r="C59" t="s">
        <v>426</v>
      </c>
      <c r="D59" t="s">
        <v>426</v>
      </c>
    </row>
    <row r="60" spans="3:4">
      <c r="C60" t="s">
        <v>426</v>
      </c>
      <c r="D60" t="s">
        <v>426</v>
      </c>
    </row>
    <row r="61" spans="3:4">
      <c r="C61" t="s">
        <v>426</v>
      </c>
      <c r="D61" t="s">
        <v>426</v>
      </c>
    </row>
    <row r="62" spans="3:4">
      <c r="C62" t="s">
        <v>426</v>
      </c>
      <c r="D62" t="s">
        <v>426</v>
      </c>
    </row>
    <row r="63" spans="3:4">
      <c r="C63" t="s">
        <v>426</v>
      </c>
      <c r="D63" t="s">
        <v>426</v>
      </c>
    </row>
    <row r="64" spans="3:4">
      <c r="C64" t="s">
        <v>426</v>
      </c>
      <c r="D64" t="s">
        <v>426</v>
      </c>
    </row>
    <row r="65" spans="3:4">
      <c r="C65" t="s">
        <v>426</v>
      </c>
      <c r="D65" t="s">
        <v>426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261"/>
  <sheetViews>
    <sheetView topLeftCell="A31" workbookViewId="0">
      <selection activeCell="G51" sqref="G51"/>
    </sheetView>
  </sheetViews>
  <sheetFormatPr defaultColWidth="11.7109375" defaultRowHeight="15"/>
  <cols>
    <col min="1" max="1" width="64.570312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7.42578125" customWidth="1"/>
    <col min="8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216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3981203.93</v>
      </c>
      <c r="D8" s="11">
        <f>D9+D11+D14+D15</f>
        <v>3395877.49</v>
      </c>
    </row>
    <row r="9" spans="1:4" ht="30">
      <c r="A9" s="12" t="s">
        <v>90</v>
      </c>
      <c r="B9" s="13" t="s">
        <v>91</v>
      </c>
      <c r="C9" s="14">
        <f>3476437.89</f>
        <v>3476437.89</v>
      </c>
      <c r="D9" s="15">
        <f>3110700.35</f>
        <v>3110700.35</v>
      </c>
    </row>
    <row r="10" spans="1:4">
      <c r="A10" s="16" t="s">
        <v>92</v>
      </c>
      <c r="B10" s="17" t="s">
        <v>93</v>
      </c>
      <c r="C10" s="18">
        <f>2248594.8156682</f>
        <v>2248594.8156682001</v>
      </c>
      <c r="D10" s="19">
        <f>_15h_E12</f>
        <v>2248594.8156682001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504766.04000000004</v>
      </c>
      <c r="D15" s="15">
        <f>SUM(D16:D24)</f>
        <v>285177.14</v>
      </c>
    </row>
    <row r="16" spans="1:4">
      <c r="A16" s="22" t="s">
        <v>103</v>
      </c>
      <c r="B16" s="17" t="s">
        <v>104</v>
      </c>
      <c r="C16" s="111">
        <v>327271.56</v>
      </c>
      <c r="D16" s="113">
        <v>122661.82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94863.72</f>
        <v>94863.72</v>
      </c>
      <c r="D18" s="19">
        <f>79883.62</f>
        <v>79883.62</v>
      </c>
    </row>
    <row r="19" spans="1:4">
      <c r="A19" s="22" t="s">
        <v>109</v>
      </c>
      <c r="B19" s="17" t="s">
        <v>110</v>
      </c>
      <c r="C19" s="18">
        <f>9719.28</f>
        <v>9719.2800000000007</v>
      </c>
      <c r="D19" s="19">
        <f>9725.82</f>
        <v>9725.82</v>
      </c>
    </row>
    <row r="20" spans="1:4">
      <c r="A20" s="22" t="s">
        <v>111</v>
      </c>
      <c r="B20" s="17" t="s">
        <v>112</v>
      </c>
      <c r="C20" s="18">
        <f>12751.1</f>
        <v>12751.1</v>
      </c>
      <c r="D20" s="19">
        <f>12745.5</f>
        <v>12745.5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60160.38</f>
        <v>60160.38</v>
      </c>
      <c r="D22" s="19">
        <f>60160.38</f>
        <v>60160.38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1552499.0699999998</v>
      </c>
      <c r="D25" s="15">
        <f>D26+D27+D30+D28+D29+D31</f>
        <v>2205657.9</v>
      </c>
    </row>
    <row r="26" spans="1:4" ht="20.25" customHeight="1">
      <c r="A26" s="24" t="s">
        <v>123</v>
      </c>
      <c r="B26" s="20" t="s">
        <v>124</v>
      </c>
      <c r="C26" s="18">
        <f>545337</f>
        <v>545337</v>
      </c>
      <c r="D26" s="19">
        <f>541841.24</f>
        <v>541841.24</v>
      </c>
    </row>
    <row r="27" spans="1:4" ht="30">
      <c r="A27" s="24" t="s">
        <v>125</v>
      </c>
      <c r="B27" s="20" t="s">
        <v>126</v>
      </c>
      <c r="C27" s="18">
        <f>66871.68</f>
        <v>66871.679999999993</v>
      </c>
      <c r="D27" s="19">
        <f>66864.23</f>
        <v>66864.23</v>
      </c>
    </row>
    <row r="28" spans="1:4" ht="34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67098.6</f>
        <v>67098.600000000006</v>
      </c>
      <c r="D29" s="19">
        <f>66512.05</f>
        <v>66512.05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873191.79</v>
      </c>
      <c r="D31" s="15">
        <f>SUM(D32:D39)</f>
        <v>1530440.38</v>
      </c>
    </row>
    <row r="32" spans="1:4" ht="17.25" customHeight="1">
      <c r="A32" s="24" t="s">
        <v>135</v>
      </c>
      <c r="B32" s="17" t="s">
        <v>136</v>
      </c>
      <c r="C32" s="18">
        <f>99552.09</f>
        <v>99552.09</v>
      </c>
      <c r="D32" s="19">
        <f>99552.14</f>
        <v>99552.14</v>
      </c>
    </row>
    <row r="33" spans="1:4">
      <c r="A33" s="24" t="s">
        <v>137</v>
      </c>
      <c r="B33" s="17" t="s">
        <v>138</v>
      </c>
      <c r="C33" s="18">
        <f>102588.29</f>
        <v>102588.29</v>
      </c>
      <c r="D33" s="19">
        <f>94769.22</f>
        <v>94769.22</v>
      </c>
    </row>
    <row r="34" spans="1:4">
      <c r="A34" s="24" t="s">
        <v>139</v>
      </c>
      <c r="B34" s="17" t="s">
        <v>140</v>
      </c>
      <c r="C34" s="18">
        <f>144950.88</f>
        <v>144950.88</v>
      </c>
      <c r="D34" s="19">
        <f>146279.51</f>
        <v>146279.51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4.5" customHeight="1">
      <c r="A39" s="24" t="s">
        <v>488</v>
      </c>
      <c r="B39" s="17" t="s">
        <v>150</v>
      </c>
      <c r="C39" s="18">
        <v>526100.53</v>
      </c>
      <c r="D39" s="19">
        <f>1189839.51</f>
        <v>1189839.51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202189.48</v>
      </c>
      <c r="D45" s="27">
        <f>SUM(D46:D48)</f>
        <v>193390.11000000002</v>
      </c>
    </row>
    <row r="46" spans="1:4">
      <c r="A46" s="21" t="s">
        <v>163</v>
      </c>
      <c r="B46" s="17" t="s">
        <v>164</v>
      </c>
      <c r="C46" s="18">
        <f>38883.72</f>
        <v>38883.72</v>
      </c>
      <c r="D46" s="19">
        <f>30084.34</f>
        <v>30084.34</v>
      </c>
    </row>
    <row r="47" spans="1:4">
      <c r="A47" s="88" t="s">
        <v>489</v>
      </c>
      <c r="B47" s="17" t="s">
        <v>165</v>
      </c>
      <c r="C47" s="18">
        <f>161875</f>
        <v>161875</v>
      </c>
      <c r="D47" s="19">
        <f>161875.01</f>
        <v>161875.01</v>
      </c>
    </row>
    <row r="48" spans="1:4">
      <c r="A48" s="21" t="s">
        <v>166</v>
      </c>
      <c r="B48" s="17" t="s">
        <v>167</v>
      </c>
      <c r="C48" s="18">
        <f>1430.76</f>
        <v>1430.76</v>
      </c>
      <c r="D48" s="19">
        <f>1430.76</f>
        <v>1430.76</v>
      </c>
    </row>
    <row r="49" spans="1:7">
      <c r="A49" s="8" t="s">
        <v>440</v>
      </c>
      <c r="B49" s="28" t="s">
        <v>168</v>
      </c>
      <c r="C49" s="29">
        <f>453572.52</f>
        <v>453572.52</v>
      </c>
      <c r="D49" s="30">
        <f>394539.5</f>
        <v>394539.5</v>
      </c>
    </row>
    <row r="50" spans="1:7">
      <c r="A50" s="8" t="s">
        <v>169</v>
      </c>
      <c r="B50" s="9" t="s">
        <v>170</v>
      </c>
      <c r="C50" s="14">
        <f>C8+C25+C40+C41+C42+C43+C44+C45+C49+C51+C52</f>
        <v>6189465</v>
      </c>
      <c r="D50" s="15">
        <f>D8+D25+D40+D41+D42+D43+D44+D45+D49+D51+D52</f>
        <v>6189465.0000000009</v>
      </c>
    </row>
    <row r="51" spans="1:7">
      <c r="A51" s="8" t="s">
        <v>171</v>
      </c>
      <c r="B51" s="9" t="s">
        <v>172</v>
      </c>
      <c r="C51" s="26"/>
      <c r="D51" s="27"/>
      <c r="G51" s="87"/>
    </row>
    <row r="52" spans="1:7">
      <c r="A52" s="8" t="s">
        <v>173</v>
      </c>
      <c r="B52" s="9" t="s">
        <v>174</v>
      </c>
      <c r="C52" s="26"/>
      <c r="D52" s="27"/>
    </row>
    <row r="53" spans="1:7" ht="28.5" hidden="1">
      <c r="A53" s="45" t="s">
        <v>175</v>
      </c>
      <c r="B53" s="20"/>
      <c r="C53" s="18"/>
      <c r="D53" s="19"/>
    </row>
    <row r="54" spans="1:7" ht="28.5" hidden="1">
      <c r="A54" s="45" t="s">
        <v>176</v>
      </c>
      <c r="B54" s="9" t="s">
        <v>177</v>
      </c>
      <c r="C54" s="26">
        <f>SUM(C55:C56)</f>
        <v>3458350.32</v>
      </c>
      <c r="D54" s="27">
        <f>SUM(D55:D56)</f>
        <v>0</v>
      </c>
    </row>
    <row r="55" spans="1:7" hidden="1">
      <c r="A55" s="21" t="s">
        <v>178</v>
      </c>
      <c r="B55" s="17" t="s">
        <v>179</v>
      </c>
      <c r="C55" s="18">
        <f>3374694</f>
        <v>3374694</v>
      </c>
      <c r="D55" s="19">
        <f>0</f>
        <v>0</v>
      </c>
    </row>
    <row r="56" spans="1:7" hidden="1">
      <c r="A56" s="21" t="s">
        <v>180</v>
      </c>
      <c r="B56" s="17" t="s">
        <v>181</v>
      </c>
      <c r="C56" s="18">
        <f>83656.32</f>
        <v>83656.320000000007</v>
      </c>
      <c r="D56" s="19">
        <f>0</f>
        <v>0</v>
      </c>
    </row>
    <row r="57" spans="1:7" ht="28.5" hidden="1">
      <c r="A57" s="45" t="s">
        <v>182</v>
      </c>
      <c r="B57" s="9" t="s">
        <v>183</v>
      </c>
      <c r="C57" s="26"/>
      <c r="D57" s="27"/>
    </row>
    <row r="58" spans="1:7" hidden="1">
      <c r="A58" s="31" t="s">
        <v>184</v>
      </c>
      <c r="B58" s="28" t="s">
        <v>185</v>
      </c>
      <c r="C58" s="29">
        <f>1839006</f>
        <v>1839006</v>
      </c>
      <c r="D58" s="30">
        <f>0</f>
        <v>0</v>
      </c>
    </row>
    <row r="59" spans="1:7" hidden="1">
      <c r="A59" s="45" t="s">
        <v>186</v>
      </c>
      <c r="B59" s="9"/>
      <c r="C59" s="26">
        <f>C54+C57+C58</f>
        <v>5297356.32</v>
      </c>
      <c r="D59" s="27">
        <f>D54+D57+D58</f>
        <v>0</v>
      </c>
    </row>
    <row r="60" spans="1:7" ht="25.5">
      <c r="A60" s="33" t="s">
        <v>188</v>
      </c>
      <c r="B60" s="9"/>
      <c r="C60" s="34">
        <v>22975</v>
      </c>
      <c r="D60" s="35">
        <v>22975</v>
      </c>
    </row>
    <row r="61" spans="1:7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7">
      <c r="A62" s="40"/>
      <c r="B62" s="41"/>
      <c r="C62" s="41"/>
      <c r="D62" s="41"/>
    </row>
    <row r="63" spans="1:7">
      <c r="A63" s="40"/>
      <c r="B63" s="2"/>
      <c r="C63" s="2"/>
      <c r="D63" s="2"/>
    </row>
    <row r="64" spans="1:7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424</v>
      </c>
      <c r="D7" t="s">
        <v>424</v>
      </c>
    </row>
    <row r="8" spans="3:4">
      <c r="C8" t="s">
        <v>424</v>
      </c>
      <c r="D8" t="s">
        <v>424</v>
      </c>
    </row>
    <row r="9" spans="3:4">
      <c r="C9" t="s">
        <v>424</v>
      </c>
      <c r="D9" t="s">
        <v>424</v>
      </c>
    </row>
    <row r="10" spans="3:4">
      <c r="C10" t="s">
        <v>424</v>
      </c>
      <c r="D10" t="s">
        <v>424</v>
      </c>
    </row>
    <row r="11" spans="3:4">
      <c r="C11" t="s">
        <v>424</v>
      </c>
      <c r="D11" t="s">
        <v>424</v>
      </c>
    </row>
    <row r="12" spans="3:4">
      <c r="C12" t="s">
        <v>424</v>
      </c>
      <c r="D12" t="s">
        <v>424</v>
      </c>
    </row>
    <row r="13" spans="3:4">
      <c r="C13" t="s">
        <v>424</v>
      </c>
      <c r="D13" t="s">
        <v>424</v>
      </c>
    </row>
    <row r="14" spans="3:4">
      <c r="C14" t="s">
        <v>424</v>
      </c>
      <c r="D14" t="s">
        <v>424</v>
      </c>
    </row>
    <row r="15" spans="3:4">
      <c r="C15" t="s">
        <v>424</v>
      </c>
      <c r="D15" t="s">
        <v>424</v>
      </c>
    </row>
    <row r="16" spans="3:4">
      <c r="C16" t="s">
        <v>424</v>
      </c>
      <c r="D16" t="s">
        <v>424</v>
      </c>
    </row>
    <row r="17" spans="3:4">
      <c r="C17" t="s">
        <v>424</v>
      </c>
      <c r="D17" t="s">
        <v>424</v>
      </c>
    </row>
    <row r="18" spans="3:4">
      <c r="C18" t="s">
        <v>424</v>
      </c>
      <c r="D18" t="s">
        <v>424</v>
      </c>
    </row>
    <row r="19" spans="3:4">
      <c r="C19" t="s">
        <v>424</v>
      </c>
      <c r="D19" t="s">
        <v>424</v>
      </c>
    </row>
    <row r="20" spans="3:4">
      <c r="C20" t="s">
        <v>424</v>
      </c>
      <c r="D20" t="s">
        <v>424</v>
      </c>
    </row>
    <row r="21" spans="3:4">
      <c r="C21" t="s">
        <v>424</v>
      </c>
      <c r="D21" t="s">
        <v>424</v>
      </c>
    </row>
    <row r="22" spans="3:4">
      <c r="C22" t="s">
        <v>424</v>
      </c>
      <c r="D22" t="s">
        <v>424</v>
      </c>
    </row>
    <row r="23" spans="3:4">
      <c r="C23" t="s">
        <v>424</v>
      </c>
      <c r="D23" t="s">
        <v>424</v>
      </c>
    </row>
    <row r="24" spans="3:4">
      <c r="C24" t="s">
        <v>424</v>
      </c>
      <c r="D24" t="s">
        <v>424</v>
      </c>
    </row>
    <row r="25" spans="3:4">
      <c r="C25" t="s">
        <v>424</v>
      </c>
      <c r="D25" t="s">
        <v>424</v>
      </c>
    </row>
    <row r="26" spans="3:4">
      <c r="C26" t="s">
        <v>424</v>
      </c>
      <c r="D26" t="s">
        <v>424</v>
      </c>
    </row>
    <row r="27" spans="3:4">
      <c r="C27" t="s">
        <v>424</v>
      </c>
      <c r="D27" t="s">
        <v>424</v>
      </c>
    </row>
    <row r="28" spans="3:4">
      <c r="C28" t="s">
        <v>424</v>
      </c>
      <c r="D28" t="s">
        <v>424</v>
      </c>
    </row>
    <row r="29" spans="3:4">
      <c r="C29" t="s">
        <v>424</v>
      </c>
      <c r="D29" t="s">
        <v>424</v>
      </c>
    </row>
    <row r="30" spans="3:4">
      <c r="C30" t="s">
        <v>424</v>
      </c>
      <c r="D30" t="s">
        <v>424</v>
      </c>
    </row>
    <row r="31" spans="3:4">
      <c r="C31" t="s">
        <v>424</v>
      </c>
      <c r="D31" t="s">
        <v>424</v>
      </c>
    </row>
    <row r="32" spans="3:4">
      <c r="C32" t="s">
        <v>424</v>
      </c>
      <c r="D32" t="s">
        <v>424</v>
      </c>
    </row>
    <row r="33" spans="3:4">
      <c r="C33" t="s">
        <v>424</v>
      </c>
      <c r="D33" t="s">
        <v>424</v>
      </c>
    </row>
    <row r="34" spans="3:4">
      <c r="C34" t="s">
        <v>424</v>
      </c>
      <c r="D34" t="s">
        <v>424</v>
      </c>
    </row>
    <row r="35" spans="3:4">
      <c r="C35" t="s">
        <v>424</v>
      </c>
      <c r="D35" t="s">
        <v>424</v>
      </c>
    </row>
    <row r="36" spans="3:4">
      <c r="C36" t="s">
        <v>424</v>
      </c>
      <c r="D36" t="s">
        <v>424</v>
      </c>
    </row>
    <row r="37" spans="3:4">
      <c r="C37" t="s">
        <v>424</v>
      </c>
      <c r="D37" t="s">
        <v>424</v>
      </c>
    </row>
    <row r="38" spans="3:4">
      <c r="C38" t="s">
        <v>424</v>
      </c>
      <c r="D38" t="s">
        <v>424</v>
      </c>
    </row>
    <row r="39" spans="3:4">
      <c r="C39" t="s">
        <v>424</v>
      </c>
      <c r="D39" t="s">
        <v>424</v>
      </c>
    </row>
    <row r="40" spans="3:4">
      <c r="C40" t="s">
        <v>424</v>
      </c>
      <c r="D40" t="s">
        <v>424</v>
      </c>
    </row>
    <row r="41" spans="3:4">
      <c r="C41" t="s">
        <v>424</v>
      </c>
      <c r="D41" t="s">
        <v>424</v>
      </c>
    </row>
    <row r="42" spans="3:4">
      <c r="C42" t="s">
        <v>424</v>
      </c>
      <c r="D42" t="s">
        <v>424</v>
      </c>
    </row>
    <row r="43" spans="3:4">
      <c r="C43" t="s">
        <v>424</v>
      </c>
      <c r="D43" t="s">
        <v>424</v>
      </c>
    </row>
    <row r="44" spans="3:4">
      <c r="C44" t="s">
        <v>424</v>
      </c>
      <c r="D44" t="s">
        <v>424</v>
      </c>
    </row>
    <row r="45" spans="3:4">
      <c r="C45" t="s">
        <v>424</v>
      </c>
      <c r="D45" t="s">
        <v>424</v>
      </c>
    </row>
    <row r="46" spans="3:4">
      <c r="C46" t="s">
        <v>424</v>
      </c>
      <c r="D46" t="s">
        <v>424</v>
      </c>
    </row>
    <row r="47" spans="3:4">
      <c r="C47" t="s">
        <v>424</v>
      </c>
      <c r="D47" t="s">
        <v>424</v>
      </c>
    </row>
    <row r="48" spans="3:4">
      <c r="C48" t="s">
        <v>424</v>
      </c>
      <c r="D48" t="s">
        <v>424</v>
      </c>
    </row>
    <row r="49" spans="3:4">
      <c r="C49" t="s">
        <v>424</v>
      </c>
      <c r="D49" t="s">
        <v>424</v>
      </c>
    </row>
    <row r="50" spans="3:4">
      <c r="C50" t="s">
        <v>424</v>
      </c>
      <c r="D50" t="s">
        <v>424</v>
      </c>
    </row>
    <row r="51" spans="3:4">
      <c r="C51" t="s">
        <v>424</v>
      </c>
      <c r="D51" t="s">
        <v>424</v>
      </c>
    </row>
    <row r="52" spans="3:4">
      <c r="C52" t="s">
        <v>424</v>
      </c>
      <c r="D52" t="s">
        <v>424</v>
      </c>
    </row>
    <row r="53" spans="3:4">
      <c r="C53" t="s">
        <v>424</v>
      </c>
      <c r="D53" t="s">
        <v>424</v>
      </c>
    </row>
    <row r="54" spans="3:4">
      <c r="C54" t="s">
        <v>424</v>
      </c>
      <c r="D54" t="s">
        <v>424</v>
      </c>
    </row>
    <row r="55" spans="3:4">
      <c r="C55" t="s">
        <v>424</v>
      </c>
      <c r="D55" t="s">
        <v>424</v>
      </c>
    </row>
    <row r="56" spans="3:4">
      <c r="C56" t="s">
        <v>424</v>
      </c>
      <c r="D56" t="s">
        <v>424</v>
      </c>
    </row>
    <row r="57" spans="3:4">
      <c r="C57" t="s">
        <v>424</v>
      </c>
      <c r="D57" t="s">
        <v>424</v>
      </c>
    </row>
    <row r="58" spans="3:4">
      <c r="C58" t="s">
        <v>424</v>
      </c>
      <c r="D58" t="s">
        <v>424</v>
      </c>
    </row>
    <row r="59" spans="3:4">
      <c r="C59" t="s">
        <v>424</v>
      </c>
      <c r="D59" t="s">
        <v>424</v>
      </c>
    </row>
    <row r="60" spans="3:4">
      <c r="C60" t="s">
        <v>424</v>
      </c>
      <c r="D60" t="s">
        <v>424</v>
      </c>
    </row>
    <row r="61" spans="3:4">
      <c r="C61" t="s">
        <v>424</v>
      </c>
      <c r="D61" t="s">
        <v>424</v>
      </c>
    </row>
    <row r="62" spans="3:4">
      <c r="C62" t="s">
        <v>424</v>
      </c>
      <c r="D62" t="s">
        <v>424</v>
      </c>
    </row>
    <row r="63" spans="3:4">
      <c r="C63" t="s">
        <v>424</v>
      </c>
      <c r="D63" t="s">
        <v>424</v>
      </c>
    </row>
    <row r="64" spans="3:4">
      <c r="C64" t="s">
        <v>424</v>
      </c>
      <c r="D64" t="s">
        <v>424</v>
      </c>
    </row>
    <row r="65" spans="3:4">
      <c r="C65" t="s">
        <v>424</v>
      </c>
      <c r="D65" t="s">
        <v>424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422</v>
      </c>
      <c r="D7" t="s">
        <v>422</v>
      </c>
    </row>
    <row r="8" spans="3:4">
      <c r="C8" t="s">
        <v>422</v>
      </c>
      <c r="D8" t="s">
        <v>422</v>
      </c>
    </row>
    <row r="9" spans="3:4">
      <c r="C9" t="s">
        <v>422</v>
      </c>
      <c r="D9" t="s">
        <v>422</v>
      </c>
    </row>
    <row r="10" spans="3:4">
      <c r="C10" t="s">
        <v>422</v>
      </c>
      <c r="D10" t="s">
        <v>422</v>
      </c>
    </row>
    <row r="11" spans="3:4">
      <c r="C11" t="s">
        <v>422</v>
      </c>
      <c r="D11" t="s">
        <v>422</v>
      </c>
    </row>
    <row r="12" spans="3:4">
      <c r="C12" t="s">
        <v>422</v>
      </c>
      <c r="D12" t="s">
        <v>422</v>
      </c>
    </row>
    <row r="13" spans="3:4">
      <c r="C13" t="s">
        <v>422</v>
      </c>
      <c r="D13" t="s">
        <v>422</v>
      </c>
    </row>
    <row r="14" spans="3:4">
      <c r="C14" t="s">
        <v>422</v>
      </c>
      <c r="D14" t="s">
        <v>422</v>
      </c>
    </row>
    <row r="15" spans="3:4">
      <c r="C15" t="s">
        <v>422</v>
      </c>
      <c r="D15" t="s">
        <v>422</v>
      </c>
    </row>
    <row r="16" spans="3:4">
      <c r="C16" t="s">
        <v>422</v>
      </c>
      <c r="D16" t="s">
        <v>422</v>
      </c>
    </row>
    <row r="17" spans="3:4">
      <c r="C17" t="s">
        <v>422</v>
      </c>
      <c r="D17" t="s">
        <v>422</v>
      </c>
    </row>
    <row r="18" spans="3:4">
      <c r="C18" t="s">
        <v>422</v>
      </c>
      <c r="D18" t="s">
        <v>422</v>
      </c>
    </row>
    <row r="19" spans="3:4">
      <c r="C19" t="s">
        <v>422</v>
      </c>
      <c r="D19" t="s">
        <v>422</v>
      </c>
    </row>
    <row r="20" spans="3:4">
      <c r="C20" t="s">
        <v>422</v>
      </c>
      <c r="D20" t="s">
        <v>422</v>
      </c>
    </row>
    <row r="21" spans="3:4">
      <c r="C21" t="s">
        <v>422</v>
      </c>
      <c r="D21" t="s">
        <v>422</v>
      </c>
    </row>
    <row r="22" spans="3:4">
      <c r="C22" t="s">
        <v>422</v>
      </c>
      <c r="D22" t="s">
        <v>422</v>
      </c>
    </row>
    <row r="23" spans="3:4">
      <c r="C23" t="s">
        <v>422</v>
      </c>
      <c r="D23" t="s">
        <v>422</v>
      </c>
    </row>
    <row r="24" spans="3:4">
      <c r="C24" t="s">
        <v>422</v>
      </c>
      <c r="D24" t="s">
        <v>422</v>
      </c>
    </row>
    <row r="25" spans="3:4">
      <c r="C25" t="s">
        <v>422</v>
      </c>
      <c r="D25" t="s">
        <v>422</v>
      </c>
    </row>
    <row r="26" spans="3:4">
      <c r="C26" t="s">
        <v>422</v>
      </c>
      <c r="D26" t="s">
        <v>422</v>
      </c>
    </row>
    <row r="27" spans="3:4">
      <c r="C27" t="s">
        <v>422</v>
      </c>
      <c r="D27" t="s">
        <v>422</v>
      </c>
    </row>
    <row r="28" spans="3:4">
      <c r="C28" t="s">
        <v>422</v>
      </c>
      <c r="D28" t="s">
        <v>422</v>
      </c>
    </row>
    <row r="29" spans="3:4">
      <c r="C29" t="s">
        <v>422</v>
      </c>
      <c r="D29" t="s">
        <v>422</v>
      </c>
    </row>
    <row r="30" spans="3:4">
      <c r="C30" t="s">
        <v>422</v>
      </c>
      <c r="D30" t="s">
        <v>422</v>
      </c>
    </row>
    <row r="31" spans="3:4">
      <c r="C31" t="s">
        <v>422</v>
      </c>
      <c r="D31" t="s">
        <v>422</v>
      </c>
    </row>
    <row r="32" spans="3:4">
      <c r="C32" t="s">
        <v>422</v>
      </c>
      <c r="D32" t="s">
        <v>422</v>
      </c>
    </row>
    <row r="33" spans="3:4">
      <c r="C33" t="s">
        <v>422</v>
      </c>
      <c r="D33" t="s">
        <v>422</v>
      </c>
    </row>
    <row r="34" spans="3:4">
      <c r="C34" t="s">
        <v>422</v>
      </c>
      <c r="D34" t="s">
        <v>422</v>
      </c>
    </row>
    <row r="35" spans="3:4">
      <c r="C35" t="s">
        <v>422</v>
      </c>
      <c r="D35" t="s">
        <v>422</v>
      </c>
    </row>
    <row r="36" spans="3:4">
      <c r="C36" t="s">
        <v>422</v>
      </c>
      <c r="D36" t="s">
        <v>422</v>
      </c>
    </row>
    <row r="37" spans="3:4">
      <c r="C37" t="s">
        <v>422</v>
      </c>
      <c r="D37" t="s">
        <v>422</v>
      </c>
    </row>
    <row r="38" spans="3:4">
      <c r="C38" t="s">
        <v>422</v>
      </c>
      <c r="D38" t="s">
        <v>422</v>
      </c>
    </row>
    <row r="39" spans="3:4">
      <c r="C39" t="s">
        <v>422</v>
      </c>
      <c r="D39" t="s">
        <v>422</v>
      </c>
    </row>
    <row r="40" spans="3:4">
      <c r="C40" t="s">
        <v>422</v>
      </c>
      <c r="D40" t="s">
        <v>422</v>
      </c>
    </row>
    <row r="41" spans="3:4">
      <c r="C41" t="s">
        <v>422</v>
      </c>
      <c r="D41" t="s">
        <v>422</v>
      </c>
    </row>
    <row r="42" spans="3:4">
      <c r="C42" t="s">
        <v>422</v>
      </c>
      <c r="D42" t="s">
        <v>422</v>
      </c>
    </row>
    <row r="43" spans="3:4">
      <c r="C43" t="s">
        <v>422</v>
      </c>
      <c r="D43" t="s">
        <v>422</v>
      </c>
    </row>
    <row r="44" spans="3:4">
      <c r="C44" t="s">
        <v>422</v>
      </c>
      <c r="D44" t="s">
        <v>422</v>
      </c>
    </row>
    <row r="45" spans="3:4">
      <c r="C45" t="s">
        <v>422</v>
      </c>
      <c r="D45" t="s">
        <v>422</v>
      </c>
    </row>
    <row r="46" spans="3:4">
      <c r="C46" t="s">
        <v>422</v>
      </c>
      <c r="D46" t="s">
        <v>422</v>
      </c>
    </row>
    <row r="47" spans="3:4">
      <c r="C47" t="s">
        <v>422</v>
      </c>
      <c r="D47" t="s">
        <v>422</v>
      </c>
    </row>
    <row r="48" spans="3:4">
      <c r="C48" t="s">
        <v>422</v>
      </c>
      <c r="D48" t="s">
        <v>422</v>
      </c>
    </row>
    <row r="49" spans="3:4">
      <c r="C49" t="s">
        <v>422</v>
      </c>
      <c r="D49" t="s">
        <v>422</v>
      </c>
    </row>
    <row r="50" spans="3:4">
      <c r="C50" t="s">
        <v>422</v>
      </c>
      <c r="D50" t="s">
        <v>422</v>
      </c>
    </row>
    <row r="51" spans="3:4">
      <c r="C51" t="s">
        <v>422</v>
      </c>
      <c r="D51" t="s">
        <v>422</v>
      </c>
    </row>
    <row r="52" spans="3:4">
      <c r="C52" t="s">
        <v>422</v>
      </c>
      <c r="D52" t="s">
        <v>422</v>
      </c>
    </row>
    <row r="53" spans="3:4">
      <c r="C53" t="s">
        <v>422</v>
      </c>
      <c r="D53" t="s">
        <v>422</v>
      </c>
    </row>
    <row r="54" spans="3:4">
      <c r="C54" t="s">
        <v>422</v>
      </c>
      <c r="D54" t="s">
        <v>422</v>
      </c>
    </row>
    <row r="55" spans="3:4">
      <c r="C55" t="s">
        <v>422</v>
      </c>
      <c r="D55" t="s">
        <v>422</v>
      </c>
    </row>
    <row r="56" spans="3:4">
      <c r="C56" t="s">
        <v>422</v>
      </c>
      <c r="D56" t="s">
        <v>422</v>
      </c>
    </row>
    <row r="57" spans="3:4">
      <c r="C57" t="s">
        <v>422</v>
      </c>
      <c r="D57" t="s">
        <v>422</v>
      </c>
    </row>
    <row r="58" spans="3:4">
      <c r="C58" t="s">
        <v>422</v>
      </c>
      <c r="D58" t="s">
        <v>422</v>
      </c>
    </row>
    <row r="59" spans="3:4">
      <c r="C59" t="s">
        <v>422</v>
      </c>
      <c r="D59" t="s">
        <v>422</v>
      </c>
    </row>
    <row r="60" spans="3:4">
      <c r="C60" t="s">
        <v>422</v>
      </c>
      <c r="D60" t="s">
        <v>422</v>
      </c>
    </row>
    <row r="61" spans="3:4">
      <c r="C61" t="s">
        <v>422</v>
      </c>
      <c r="D61" t="s">
        <v>422</v>
      </c>
    </row>
    <row r="62" spans="3:4">
      <c r="C62" t="s">
        <v>422</v>
      </c>
      <c r="D62" t="s">
        <v>422</v>
      </c>
    </row>
    <row r="63" spans="3:4">
      <c r="C63" t="s">
        <v>422</v>
      </c>
      <c r="D63" t="s">
        <v>422</v>
      </c>
    </row>
    <row r="64" spans="3:4">
      <c r="C64" t="s">
        <v>422</v>
      </c>
      <c r="D64" t="s">
        <v>422</v>
      </c>
    </row>
    <row r="65" spans="3:4">
      <c r="C65" t="s">
        <v>422</v>
      </c>
      <c r="D65" t="s">
        <v>422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420</v>
      </c>
      <c r="D7" t="s">
        <v>420</v>
      </c>
    </row>
    <row r="8" spans="3:4">
      <c r="C8" t="s">
        <v>420</v>
      </c>
      <c r="D8" t="s">
        <v>420</v>
      </c>
    </row>
    <row r="9" spans="3:4">
      <c r="C9" t="s">
        <v>420</v>
      </c>
      <c r="D9" t="s">
        <v>420</v>
      </c>
    </row>
    <row r="10" spans="3:4">
      <c r="C10" t="s">
        <v>420</v>
      </c>
      <c r="D10" t="s">
        <v>420</v>
      </c>
    </row>
    <row r="11" spans="3:4">
      <c r="C11" t="s">
        <v>420</v>
      </c>
      <c r="D11" t="s">
        <v>420</v>
      </c>
    </row>
    <row r="12" spans="3:4">
      <c r="C12" t="s">
        <v>420</v>
      </c>
      <c r="D12" t="s">
        <v>420</v>
      </c>
    </row>
    <row r="13" spans="3:4">
      <c r="C13" t="s">
        <v>420</v>
      </c>
      <c r="D13" t="s">
        <v>420</v>
      </c>
    </row>
    <row r="14" spans="3:4">
      <c r="C14" t="s">
        <v>420</v>
      </c>
      <c r="D14" t="s">
        <v>420</v>
      </c>
    </row>
    <row r="15" spans="3:4">
      <c r="C15" t="s">
        <v>420</v>
      </c>
      <c r="D15" t="s">
        <v>420</v>
      </c>
    </row>
    <row r="16" spans="3:4">
      <c r="C16" t="s">
        <v>420</v>
      </c>
      <c r="D16" t="s">
        <v>420</v>
      </c>
    </row>
    <row r="17" spans="3:4">
      <c r="C17" t="s">
        <v>420</v>
      </c>
      <c r="D17" t="s">
        <v>420</v>
      </c>
    </row>
    <row r="18" spans="3:4">
      <c r="C18" t="s">
        <v>420</v>
      </c>
      <c r="D18" t="s">
        <v>420</v>
      </c>
    </row>
    <row r="19" spans="3:4">
      <c r="C19" t="s">
        <v>420</v>
      </c>
      <c r="D19" t="s">
        <v>420</v>
      </c>
    </row>
    <row r="20" spans="3:4">
      <c r="C20" t="s">
        <v>420</v>
      </c>
      <c r="D20" t="s">
        <v>420</v>
      </c>
    </row>
    <row r="21" spans="3:4">
      <c r="C21" t="s">
        <v>420</v>
      </c>
      <c r="D21" t="s">
        <v>420</v>
      </c>
    </row>
    <row r="22" spans="3:4">
      <c r="C22" t="s">
        <v>420</v>
      </c>
      <c r="D22" t="s">
        <v>420</v>
      </c>
    </row>
    <row r="23" spans="3:4">
      <c r="C23" t="s">
        <v>420</v>
      </c>
      <c r="D23" t="s">
        <v>420</v>
      </c>
    </row>
    <row r="24" spans="3:4">
      <c r="C24" t="s">
        <v>420</v>
      </c>
      <c r="D24" t="s">
        <v>420</v>
      </c>
    </row>
    <row r="25" spans="3:4">
      <c r="C25" t="s">
        <v>420</v>
      </c>
      <c r="D25" t="s">
        <v>420</v>
      </c>
    </row>
    <row r="26" spans="3:4">
      <c r="C26" t="s">
        <v>420</v>
      </c>
      <c r="D26" t="s">
        <v>420</v>
      </c>
    </row>
    <row r="27" spans="3:4">
      <c r="C27" t="s">
        <v>420</v>
      </c>
      <c r="D27" t="s">
        <v>420</v>
      </c>
    </row>
    <row r="28" spans="3:4">
      <c r="C28" t="s">
        <v>420</v>
      </c>
      <c r="D28" t="s">
        <v>420</v>
      </c>
    </row>
    <row r="29" spans="3:4">
      <c r="C29" t="s">
        <v>420</v>
      </c>
      <c r="D29" t="s">
        <v>420</v>
      </c>
    </row>
    <row r="30" spans="3:4">
      <c r="C30" t="s">
        <v>420</v>
      </c>
      <c r="D30" t="s">
        <v>420</v>
      </c>
    </row>
    <row r="31" spans="3:4">
      <c r="C31" t="s">
        <v>420</v>
      </c>
      <c r="D31" t="s">
        <v>420</v>
      </c>
    </row>
    <row r="32" spans="3:4">
      <c r="C32" t="s">
        <v>420</v>
      </c>
      <c r="D32" t="s">
        <v>420</v>
      </c>
    </row>
    <row r="33" spans="3:4">
      <c r="C33" t="s">
        <v>420</v>
      </c>
      <c r="D33" t="s">
        <v>420</v>
      </c>
    </row>
    <row r="34" spans="3:4">
      <c r="C34" t="s">
        <v>420</v>
      </c>
      <c r="D34" t="s">
        <v>420</v>
      </c>
    </row>
    <row r="35" spans="3:4">
      <c r="C35" t="s">
        <v>420</v>
      </c>
      <c r="D35" t="s">
        <v>420</v>
      </c>
    </row>
    <row r="36" spans="3:4">
      <c r="C36" t="s">
        <v>420</v>
      </c>
      <c r="D36" t="s">
        <v>420</v>
      </c>
    </row>
    <row r="37" spans="3:4">
      <c r="C37" t="s">
        <v>420</v>
      </c>
      <c r="D37" t="s">
        <v>420</v>
      </c>
    </row>
    <row r="38" spans="3:4">
      <c r="C38" t="s">
        <v>420</v>
      </c>
      <c r="D38" t="s">
        <v>420</v>
      </c>
    </row>
    <row r="39" spans="3:4">
      <c r="C39" t="s">
        <v>420</v>
      </c>
      <c r="D39" t="s">
        <v>420</v>
      </c>
    </row>
    <row r="40" spans="3:4">
      <c r="C40" t="s">
        <v>420</v>
      </c>
      <c r="D40" t="s">
        <v>420</v>
      </c>
    </row>
    <row r="41" spans="3:4">
      <c r="C41" t="s">
        <v>420</v>
      </c>
      <c r="D41" t="s">
        <v>420</v>
      </c>
    </row>
    <row r="42" spans="3:4">
      <c r="C42" t="s">
        <v>420</v>
      </c>
      <c r="D42" t="s">
        <v>420</v>
      </c>
    </row>
    <row r="43" spans="3:4">
      <c r="C43" t="s">
        <v>420</v>
      </c>
      <c r="D43" t="s">
        <v>420</v>
      </c>
    </row>
    <row r="44" spans="3:4">
      <c r="C44" t="s">
        <v>420</v>
      </c>
      <c r="D44" t="s">
        <v>420</v>
      </c>
    </row>
    <row r="45" spans="3:4">
      <c r="C45" t="s">
        <v>420</v>
      </c>
      <c r="D45" t="s">
        <v>420</v>
      </c>
    </row>
    <row r="46" spans="3:4">
      <c r="C46" t="s">
        <v>420</v>
      </c>
      <c r="D46" t="s">
        <v>420</v>
      </c>
    </row>
    <row r="47" spans="3:4">
      <c r="C47" t="s">
        <v>420</v>
      </c>
      <c r="D47" t="s">
        <v>420</v>
      </c>
    </row>
    <row r="48" spans="3:4">
      <c r="C48" t="s">
        <v>420</v>
      </c>
      <c r="D48" t="s">
        <v>420</v>
      </c>
    </row>
    <row r="49" spans="3:4">
      <c r="C49" t="s">
        <v>420</v>
      </c>
      <c r="D49" t="s">
        <v>420</v>
      </c>
    </row>
    <row r="50" spans="3:4">
      <c r="C50" t="s">
        <v>420</v>
      </c>
      <c r="D50" t="s">
        <v>420</v>
      </c>
    </row>
    <row r="51" spans="3:4">
      <c r="C51" t="s">
        <v>420</v>
      </c>
      <c r="D51" t="s">
        <v>420</v>
      </c>
    </row>
    <row r="52" spans="3:4">
      <c r="C52" t="s">
        <v>420</v>
      </c>
      <c r="D52" t="s">
        <v>420</v>
      </c>
    </row>
    <row r="53" spans="3:4">
      <c r="C53" t="s">
        <v>420</v>
      </c>
      <c r="D53" t="s">
        <v>420</v>
      </c>
    </row>
    <row r="54" spans="3:4">
      <c r="C54" t="s">
        <v>420</v>
      </c>
      <c r="D54" t="s">
        <v>420</v>
      </c>
    </row>
    <row r="55" spans="3:4">
      <c r="C55" t="s">
        <v>420</v>
      </c>
      <c r="D55" t="s">
        <v>420</v>
      </c>
    </row>
    <row r="56" spans="3:4">
      <c r="C56" t="s">
        <v>420</v>
      </c>
      <c r="D56" t="s">
        <v>420</v>
      </c>
    </row>
    <row r="57" spans="3:4">
      <c r="C57" t="s">
        <v>420</v>
      </c>
      <c r="D57" t="s">
        <v>420</v>
      </c>
    </row>
    <row r="58" spans="3:4">
      <c r="C58" t="s">
        <v>420</v>
      </c>
      <c r="D58" t="s">
        <v>420</v>
      </c>
    </row>
    <row r="59" spans="3:4">
      <c r="C59" t="s">
        <v>420</v>
      </c>
      <c r="D59" t="s">
        <v>420</v>
      </c>
    </row>
    <row r="60" spans="3:4">
      <c r="C60" t="s">
        <v>420</v>
      </c>
      <c r="D60" t="s">
        <v>420</v>
      </c>
    </row>
    <row r="61" spans="3:4">
      <c r="C61" t="s">
        <v>420</v>
      </c>
      <c r="D61" t="s">
        <v>420</v>
      </c>
    </row>
    <row r="62" spans="3:4">
      <c r="C62" t="s">
        <v>420</v>
      </c>
      <c r="D62" t="s">
        <v>420</v>
      </c>
    </row>
    <row r="63" spans="3:4">
      <c r="C63" t="s">
        <v>420</v>
      </c>
      <c r="D63" t="s">
        <v>420</v>
      </c>
    </row>
    <row r="64" spans="3:4">
      <c r="C64" t="s">
        <v>420</v>
      </c>
      <c r="D64" t="s">
        <v>420</v>
      </c>
    </row>
    <row r="65" spans="3:4">
      <c r="C65" t="s">
        <v>420</v>
      </c>
      <c r="D65" t="s">
        <v>420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418</v>
      </c>
      <c r="D7" t="s">
        <v>418</v>
      </c>
    </row>
    <row r="8" spans="3:4">
      <c r="C8" t="s">
        <v>418</v>
      </c>
      <c r="D8" t="s">
        <v>418</v>
      </c>
    </row>
    <row r="9" spans="3:4">
      <c r="C9" t="s">
        <v>418</v>
      </c>
      <c r="D9" t="s">
        <v>418</v>
      </c>
    </row>
    <row r="10" spans="3:4">
      <c r="C10" t="s">
        <v>418</v>
      </c>
      <c r="D10" t="s">
        <v>418</v>
      </c>
    </row>
    <row r="11" spans="3:4">
      <c r="C11" t="s">
        <v>418</v>
      </c>
      <c r="D11" t="s">
        <v>418</v>
      </c>
    </row>
    <row r="12" spans="3:4">
      <c r="C12" t="s">
        <v>418</v>
      </c>
      <c r="D12" t="s">
        <v>418</v>
      </c>
    </row>
    <row r="13" spans="3:4">
      <c r="C13" t="s">
        <v>418</v>
      </c>
      <c r="D13" t="s">
        <v>418</v>
      </c>
    </row>
    <row r="14" spans="3:4">
      <c r="C14" t="s">
        <v>418</v>
      </c>
      <c r="D14" t="s">
        <v>418</v>
      </c>
    </row>
    <row r="15" spans="3:4">
      <c r="C15" t="s">
        <v>418</v>
      </c>
      <c r="D15" t="s">
        <v>418</v>
      </c>
    </row>
    <row r="16" spans="3:4">
      <c r="C16" t="s">
        <v>418</v>
      </c>
      <c r="D16" t="s">
        <v>418</v>
      </c>
    </row>
    <row r="17" spans="3:4">
      <c r="C17" t="s">
        <v>418</v>
      </c>
      <c r="D17" t="s">
        <v>418</v>
      </c>
    </row>
    <row r="18" spans="3:4">
      <c r="C18" t="s">
        <v>418</v>
      </c>
      <c r="D18" t="s">
        <v>418</v>
      </c>
    </row>
    <row r="19" spans="3:4">
      <c r="C19" t="s">
        <v>418</v>
      </c>
      <c r="D19" t="s">
        <v>418</v>
      </c>
    </row>
    <row r="20" spans="3:4">
      <c r="C20" t="s">
        <v>418</v>
      </c>
      <c r="D20" t="s">
        <v>418</v>
      </c>
    </row>
    <row r="21" spans="3:4">
      <c r="C21" t="s">
        <v>418</v>
      </c>
      <c r="D21" t="s">
        <v>418</v>
      </c>
    </row>
    <row r="22" spans="3:4">
      <c r="C22" t="s">
        <v>418</v>
      </c>
      <c r="D22" t="s">
        <v>418</v>
      </c>
    </row>
    <row r="23" spans="3:4">
      <c r="C23" t="s">
        <v>418</v>
      </c>
      <c r="D23" t="s">
        <v>418</v>
      </c>
    </row>
    <row r="24" spans="3:4">
      <c r="C24" t="s">
        <v>418</v>
      </c>
      <c r="D24" t="s">
        <v>418</v>
      </c>
    </row>
    <row r="25" spans="3:4">
      <c r="C25" t="s">
        <v>418</v>
      </c>
      <c r="D25" t="s">
        <v>418</v>
      </c>
    </row>
    <row r="26" spans="3:4">
      <c r="C26" t="s">
        <v>418</v>
      </c>
      <c r="D26" t="s">
        <v>418</v>
      </c>
    </row>
    <row r="27" spans="3:4">
      <c r="C27" t="s">
        <v>418</v>
      </c>
      <c r="D27" t="s">
        <v>418</v>
      </c>
    </row>
    <row r="28" spans="3:4">
      <c r="C28" t="s">
        <v>418</v>
      </c>
      <c r="D28" t="s">
        <v>418</v>
      </c>
    </row>
    <row r="29" spans="3:4">
      <c r="C29" t="s">
        <v>418</v>
      </c>
      <c r="D29" t="s">
        <v>418</v>
      </c>
    </row>
    <row r="30" spans="3:4">
      <c r="C30" t="s">
        <v>418</v>
      </c>
      <c r="D30" t="s">
        <v>418</v>
      </c>
    </row>
    <row r="31" spans="3:4">
      <c r="C31" t="s">
        <v>418</v>
      </c>
      <c r="D31" t="s">
        <v>418</v>
      </c>
    </row>
    <row r="32" spans="3:4">
      <c r="C32" t="s">
        <v>418</v>
      </c>
      <c r="D32" t="s">
        <v>418</v>
      </c>
    </row>
    <row r="33" spans="3:4">
      <c r="C33" t="s">
        <v>418</v>
      </c>
      <c r="D33" t="s">
        <v>418</v>
      </c>
    </row>
    <row r="34" spans="3:4">
      <c r="C34" t="s">
        <v>418</v>
      </c>
      <c r="D34" t="s">
        <v>418</v>
      </c>
    </row>
    <row r="35" spans="3:4">
      <c r="C35" t="s">
        <v>418</v>
      </c>
      <c r="D35" t="s">
        <v>418</v>
      </c>
    </row>
    <row r="36" spans="3:4">
      <c r="C36" t="s">
        <v>418</v>
      </c>
      <c r="D36" t="s">
        <v>418</v>
      </c>
    </row>
    <row r="37" spans="3:4">
      <c r="C37" t="s">
        <v>418</v>
      </c>
      <c r="D37" t="s">
        <v>418</v>
      </c>
    </row>
    <row r="38" spans="3:4">
      <c r="C38" t="s">
        <v>418</v>
      </c>
      <c r="D38" t="s">
        <v>418</v>
      </c>
    </row>
    <row r="39" spans="3:4">
      <c r="C39" t="s">
        <v>418</v>
      </c>
      <c r="D39" t="s">
        <v>418</v>
      </c>
    </row>
    <row r="40" spans="3:4">
      <c r="C40" t="s">
        <v>418</v>
      </c>
      <c r="D40" t="s">
        <v>418</v>
      </c>
    </row>
    <row r="41" spans="3:4">
      <c r="C41" t="s">
        <v>418</v>
      </c>
      <c r="D41" t="s">
        <v>418</v>
      </c>
    </row>
    <row r="42" spans="3:4">
      <c r="C42" t="s">
        <v>418</v>
      </c>
      <c r="D42" t="s">
        <v>418</v>
      </c>
    </row>
    <row r="43" spans="3:4">
      <c r="C43" t="s">
        <v>418</v>
      </c>
      <c r="D43" t="s">
        <v>418</v>
      </c>
    </row>
    <row r="44" spans="3:4">
      <c r="C44" t="s">
        <v>418</v>
      </c>
      <c r="D44" t="s">
        <v>418</v>
      </c>
    </row>
    <row r="45" spans="3:4">
      <c r="C45" t="s">
        <v>418</v>
      </c>
      <c r="D45" t="s">
        <v>418</v>
      </c>
    </row>
    <row r="46" spans="3:4">
      <c r="C46" t="s">
        <v>418</v>
      </c>
      <c r="D46" t="s">
        <v>418</v>
      </c>
    </row>
    <row r="47" spans="3:4">
      <c r="C47" t="s">
        <v>418</v>
      </c>
      <c r="D47" t="s">
        <v>418</v>
      </c>
    </row>
    <row r="48" spans="3:4">
      <c r="C48" t="s">
        <v>418</v>
      </c>
      <c r="D48" t="s">
        <v>418</v>
      </c>
    </row>
    <row r="49" spans="3:4">
      <c r="C49" t="s">
        <v>418</v>
      </c>
      <c r="D49" t="s">
        <v>418</v>
      </c>
    </row>
    <row r="50" spans="3:4">
      <c r="C50" t="s">
        <v>418</v>
      </c>
      <c r="D50" t="s">
        <v>418</v>
      </c>
    </row>
    <row r="51" spans="3:4">
      <c r="C51" t="s">
        <v>418</v>
      </c>
      <c r="D51" t="s">
        <v>418</v>
      </c>
    </row>
    <row r="52" spans="3:4">
      <c r="C52" t="s">
        <v>418</v>
      </c>
      <c r="D52" t="s">
        <v>418</v>
      </c>
    </row>
    <row r="53" spans="3:4">
      <c r="C53" t="s">
        <v>418</v>
      </c>
      <c r="D53" t="s">
        <v>418</v>
      </c>
    </row>
    <row r="54" spans="3:4">
      <c r="C54" t="s">
        <v>418</v>
      </c>
      <c r="D54" t="s">
        <v>418</v>
      </c>
    </row>
    <row r="55" spans="3:4">
      <c r="C55" t="s">
        <v>418</v>
      </c>
      <c r="D55" t="s">
        <v>418</v>
      </c>
    </row>
    <row r="56" spans="3:4">
      <c r="C56" t="s">
        <v>418</v>
      </c>
      <c r="D56" t="s">
        <v>418</v>
      </c>
    </row>
    <row r="57" spans="3:4">
      <c r="C57" t="s">
        <v>418</v>
      </c>
      <c r="D57" t="s">
        <v>418</v>
      </c>
    </row>
    <row r="58" spans="3:4">
      <c r="C58" t="s">
        <v>418</v>
      </c>
      <c r="D58" t="s">
        <v>418</v>
      </c>
    </row>
    <row r="59" spans="3:4">
      <c r="C59" t="s">
        <v>418</v>
      </c>
      <c r="D59" t="s">
        <v>418</v>
      </c>
    </row>
    <row r="60" spans="3:4">
      <c r="C60" t="s">
        <v>418</v>
      </c>
      <c r="D60" t="s">
        <v>418</v>
      </c>
    </row>
    <row r="61" spans="3:4">
      <c r="C61" t="s">
        <v>418</v>
      </c>
      <c r="D61" t="s">
        <v>418</v>
      </c>
    </row>
    <row r="62" spans="3:4">
      <c r="C62" t="s">
        <v>418</v>
      </c>
      <c r="D62" t="s">
        <v>418</v>
      </c>
    </row>
    <row r="63" spans="3:4">
      <c r="C63" t="s">
        <v>418</v>
      </c>
      <c r="D63" t="s">
        <v>418</v>
      </c>
    </row>
    <row r="64" spans="3:4">
      <c r="C64" t="s">
        <v>418</v>
      </c>
      <c r="D64" t="s">
        <v>418</v>
      </c>
    </row>
    <row r="65" spans="3:4">
      <c r="C65" t="s">
        <v>418</v>
      </c>
      <c r="D65" t="s">
        <v>418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416</v>
      </c>
      <c r="D7" t="s">
        <v>416</v>
      </c>
    </row>
    <row r="8" spans="3:4">
      <c r="C8" t="s">
        <v>416</v>
      </c>
      <c r="D8" t="s">
        <v>416</v>
      </c>
    </row>
    <row r="9" spans="3:4">
      <c r="C9" t="s">
        <v>416</v>
      </c>
      <c r="D9" t="s">
        <v>416</v>
      </c>
    </row>
    <row r="10" spans="3:4">
      <c r="C10" t="s">
        <v>416</v>
      </c>
      <c r="D10" t="s">
        <v>416</v>
      </c>
    </row>
    <row r="11" spans="3:4">
      <c r="C11" t="s">
        <v>416</v>
      </c>
      <c r="D11" t="s">
        <v>416</v>
      </c>
    </row>
    <row r="12" spans="3:4">
      <c r="C12" t="s">
        <v>416</v>
      </c>
      <c r="D12" t="s">
        <v>416</v>
      </c>
    </row>
    <row r="13" spans="3:4">
      <c r="C13" t="s">
        <v>416</v>
      </c>
      <c r="D13" t="s">
        <v>416</v>
      </c>
    </row>
    <row r="14" spans="3:4">
      <c r="C14" t="s">
        <v>416</v>
      </c>
      <c r="D14" t="s">
        <v>416</v>
      </c>
    </row>
    <row r="15" spans="3:4">
      <c r="C15" t="s">
        <v>416</v>
      </c>
      <c r="D15" t="s">
        <v>416</v>
      </c>
    </row>
    <row r="16" spans="3:4">
      <c r="C16" t="s">
        <v>416</v>
      </c>
      <c r="D16" t="s">
        <v>416</v>
      </c>
    </row>
    <row r="17" spans="3:4">
      <c r="C17" t="s">
        <v>416</v>
      </c>
      <c r="D17" t="s">
        <v>416</v>
      </c>
    </row>
    <row r="18" spans="3:4">
      <c r="C18" t="s">
        <v>416</v>
      </c>
      <c r="D18" t="s">
        <v>416</v>
      </c>
    </row>
    <row r="19" spans="3:4">
      <c r="C19" t="s">
        <v>416</v>
      </c>
      <c r="D19" t="s">
        <v>416</v>
      </c>
    </row>
    <row r="20" spans="3:4">
      <c r="C20" t="s">
        <v>416</v>
      </c>
      <c r="D20" t="s">
        <v>416</v>
      </c>
    </row>
    <row r="21" spans="3:4">
      <c r="C21" t="s">
        <v>416</v>
      </c>
      <c r="D21" t="s">
        <v>416</v>
      </c>
    </row>
    <row r="22" spans="3:4">
      <c r="C22" t="s">
        <v>416</v>
      </c>
      <c r="D22" t="s">
        <v>416</v>
      </c>
    </row>
    <row r="23" spans="3:4">
      <c r="C23" t="s">
        <v>416</v>
      </c>
      <c r="D23" t="s">
        <v>416</v>
      </c>
    </row>
    <row r="24" spans="3:4">
      <c r="C24" t="s">
        <v>416</v>
      </c>
      <c r="D24" t="s">
        <v>416</v>
      </c>
    </row>
    <row r="25" spans="3:4">
      <c r="C25" t="s">
        <v>416</v>
      </c>
      <c r="D25" t="s">
        <v>416</v>
      </c>
    </row>
    <row r="26" spans="3:4">
      <c r="C26" t="s">
        <v>416</v>
      </c>
      <c r="D26" t="s">
        <v>416</v>
      </c>
    </row>
    <row r="27" spans="3:4">
      <c r="C27" t="s">
        <v>416</v>
      </c>
      <c r="D27" t="s">
        <v>416</v>
      </c>
    </row>
    <row r="28" spans="3:4">
      <c r="C28" t="s">
        <v>416</v>
      </c>
      <c r="D28" t="s">
        <v>416</v>
      </c>
    </row>
    <row r="29" spans="3:4">
      <c r="C29" t="s">
        <v>416</v>
      </c>
      <c r="D29" t="s">
        <v>416</v>
      </c>
    </row>
    <row r="30" spans="3:4">
      <c r="C30" t="s">
        <v>416</v>
      </c>
      <c r="D30" t="s">
        <v>416</v>
      </c>
    </row>
    <row r="31" spans="3:4">
      <c r="C31" t="s">
        <v>416</v>
      </c>
      <c r="D31" t="s">
        <v>416</v>
      </c>
    </row>
    <row r="32" spans="3:4">
      <c r="C32" t="s">
        <v>416</v>
      </c>
      <c r="D32" t="s">
        <v>416</v>
      </c>
    </row>
    <row r="33" spans="3:4">
      <c r="C33" t="s">
        <v>416</v>
      </c>
      <c r="D33" t="s">
        <v>416</v>
      </c>
    </row>
    <row r="34" spans="3:4">
      <c r="C34" t="s">
        <v>416</v>
      </c>
      <c r="D34" t="s">
        <v>416</v>
      </c>
    </row>
    <row r="35" spans="3:4">
      <c r="C35" t="s">
        <v>416</v>
      </c>
      <c r="D35" t="s">
        <v>416</v>
      </c>
    </row>
    <row r="36" spans="3:4">
      <c r="C36" t="s">
        <v>416</v>
      </c>
      <c r="D36" t="s">
        <v>416</v>
      </c>
    </row>
    <row r="37" spans="3:4">
      <c r="C37" t="s">
        <v>416</v>
      </c>
      <c r="D37" t="s">
        <v>416</v>
      </c>
    </row>
    <row r="38" spans="3:4">
      <c r="C38" t="s">
        <v>416</v>
      </c>
      <c r="D38" t="s">
        <v>416</v>
      </c>
    </row>
    <row r="39" spans="3:4">
      <c r="C39" t="s">
        <v>416</v>
      </c>
      <c r="D39" t="s">
        <v>416</v>
      </c>
    </row>
    <row r="40" spans="3:4">
      <c r="C40" t="s">
        <v>416</v>
      </c>
      <c r="D40" t="s">
        <v>416</v>
      </c>
    </row>
    <row r="41" spans="3:4">
      <c r="C41" t="s">
        <v>416</v>
      </c>
      <c r="D41" t="s">
        <v>416</v>
      </c>
    </row>
    <row r="42" spans="3:4">
      <c r="C42" t="s">
        <v>416</v>
      </c>
      <c r="D42" t="s">
        <v>416</v>
      </c>
    </row>
    <row r="43" spans="3:4">
      <c r="C43" t="s">
        <v>416</v>
      </c>
      <c r="D43" t="s">
        <v>416</v>
      </c>
    </row>
    <row r="44" spans="3:4">
      <c r="C44" t="s">
        <v>416</v>
      </c>
      <c r="D44" t="s">
        <v>416</v>
      </c>
    </row>
    <row r="45" spans="3:4">
      <c r="C45" t="s">
        <v>416</v>
      </c>
      <c r="D45" t="s">
        <v>416</v>
      </c>
    </row>
    <row r="46" spans="3:4">
      <c r="C46" t="s">
        <v>416</v>
      </c>
      <c r="D46" t="s">
        <v>416</v>
      </c>
    </row>
    <row r="47" spans="3:4">
      <c r="C47" t="s">
        <v>416</v>
      </c>
      <c r="D47" t="s">
        <v>416</v>
      </c>
    </row>
    <row r="48" spans="3:4">
      <c r="C48" t="s">
        <v>416</v>
      </c>
      <c r="D48" t="s">
        <v>416</v>
      </c>
    </row>
    <row r="49" spans="3:4">
      <c r="C49" t="s">
        <v>416</v>
      </c>
      <c r="D49" t="s">
        <v>416</v>
      </c>
    </row>
    <row r="50" spans="3:4">
      <c r="C50" t="s">
        <v>416</v>
      </c>
      <c r="D50" t="s">
        <v>416</v>
      </c>
    </row>
    <row r="51" spans="3:4">
      <c r="C51" t="s">
        <v>416</v>
      </c>
      <c r="D51" t="s">
        <v>416</v>
      </c>
    </row>
    <row r="52" spans="3:4">
      <c r="C52" t="s">
        <v>416</v>
      </c>
      <c r="D52" t="s">
        <v>416</v>
      </c>
    </row>
    <row r="53" spans="3:4">
      <c r="C53" t="s">
        <v>416</v>
      </c>
      <c r="D53" t="s">
        <v>416</v>
      </c>
    </row>
    <row r="54" spans="3:4">
      <c r="C54" t="s">
        <v>416</v>
      </c>
      <c r="D54" t="s">
        <v>416</v>
      </c>
    </row>
    <row r="55" spans="3:4">
      <c r="C55" t="s">
        <v>416</v>
      </c>
      <c r="D55" t="s">
        <v>416</v>
      </c>
    </row>
    <row r="56" spans="3:4">
      <c r="C56" t="s">
        <v>416</v>
      </c>
      <c r="D56" t="s">
        <v>416</v>
      </c>
    </row>
    <row r="57" spans="3:4">
      <c r="C57" t="s">
        <v>416</v>
      </c>
      <c r="D57" t="s">
        <v>416</v>
      </c>
    </row>
    <row r="58" spans="3:4">
      <c r="C58" t="s">
        <v>416</v>
      </c>
      <c r="D58" t="s">
        <v>416</v>
      </c>
    </row>
    <row r="59" spans="3:4">
      <c r="C59" t="s">
        <v>416</v>
      </c>
      <c r="D59" t="s">
        <v>416</v>
      </c>
    </row>
    <row r="60" spans="3:4">
      <c r="C60" t="s">
        <v>416</v>
      </c>
      <c r="D60" t="s">
        <v>416</v>
      </c>
    </row>
    <row r="61" spans="3:4">
      <c r="C61" t="s">
        <v>416</v>
      </c>
      <c r="D61" t="s">
        <v>416</v>
      </c>
    </row>
    <row r="62" spans="3:4">
      <c r="C62" t="s">
        <v>416</v>
      </c>
      <c r="D62" t="s">
        <v>416</v>
      </c>
    </row>
    <row r="63" spans="3:4">
      <c r="C63" t="s">
        <v>416</v>
      </c>
      <c r="D63" t="s">
        <v>416</v>
      </c>
    </row>
    <row r="64" spans="3:4">
      <c r="C64" t="s">
        <v>416</v>
      </c>
      <c r="D64" t="s">
        <v>416</v>
      </c>
    </row>
    <row r="65" spans="3:4">
      <c r="C65" t="s">
        <v>416</v>
      </c>
      <c r="D65" t="s">
        <v>416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261"/>
  <sheetViews>
    <sheetView topLeftCell="A34" workbookViewId="0">
      <selection activeCell="E47" sqref="E47"/>
    </sheetView>
  </sheetViews>
  <sheetFormatPr defaultColWidth="11.7109375" defaultRowHeight="15"/>
  <cols>
    <col min="1" max="1" width="58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10.7109375" customWidth="1"/>
    <col min="8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218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5795638.2700000005</v>
      </c>
      <c r="D8" s="11">
        <f>D9+D11+D14+D15</f>
        <v>5519616.8200000003</v>
      </c>
    </row>
    <row r="9" spans="1:4" ht="30">
      <c r="A9" s="12" t="s">
        <v>90</v>
      </c>
      <c r="B9" s="13" t="s">
        <v>91</v>
      </c>
      <c r="C9" s="14">
        <f>5060585.82</f>
        <v>5060585.82</v>
      </c>
      <c r="D9" s="15">
        <v>4997382.21</v>
      </c>
    </row>
    <row r="10" spans="1:4">
      <c r="A10" s="16" t="s">
        <v>92</v>
      </c>
      <c r="B10" s="17" t="s">
        <v>93</v>
      </c>
      <c r="C10" s="18">
        <f>3272013.31797235</f>
        <v>3272013.3179723499</v>
      </c>
      <c r="D10" s="19">
        <f>_16h_E12</f>
        <v>3272013.3179723499</v>
      </c>
    </row>
    <row r="11" spans="1:4" ht="18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735052.44999999984</v>
      </c>
      <c r="D15" s="15">
        <f>SUM(D16:D24)</f>
        <v>522234.61000000004</v>
      </c>
    </row>
    <row r="16" spans="1:4">
      <c r="A16" s="22" t="s">
        <v>103</v>
      </c>
      <c r="B16" s="17" t="s">
        <v>104</v>
      </c>
      <c r="C16" s="111">
        <v>482001.96</v>
      </c>
      <c r="D16" s="113">
        <v>235658.88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132203.76</f>
        <v>132203.76</v>
      </c>
      <c r="D18" s="19">
        <f>165727.63</f>
        <v>165727.63</v>
      </c>
    </row>
    <row r="19" spans="1:4">
      <c r="A19" s="22" t="s">
        <v>109</v>
      </c>
      <c r="B19" s="17" t="s">
        <v>110</v>
      </c>
      <c r="C19" s="18">
        <f>14172.44</f>
        <v>14172.44</v>
      </c>
      <c r="D19" s="19">
        <f>14181.96</f>
        <v>14181.96</v>
      </c>
    </row>
    <row r="20" spans="1:4">
      <c r="A20" s="22" t="s">
        <v>111</v>
      </c>
      <c r="B20" s="17" t="s">
        <v>112</v>
      </c>
      <c r="C20" s="18">
        <f>18747.58</f>
        <v>18747.580000000002</v>
      </c>
      <c r="D20" s="19">
        <f>18739.43</f>
        <v>18739.43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87926.71</f>
        <v>87926.71</v>
      </c>
      <c r="D22" s="19">
        <f>87926.71</f>
        <v>87926.71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2500411.44</v>
      </c>
      <c r="D25" s="15">
        <f>D26+D27+D30+D28+D29+D31</f>
        <v>1454197.1400000001</v>
      </c>
    </row>
    <row r="26" spans="1:4" ht="22.5" customHeight="1">
      <c r="A26" s="24" t="s">
        <v>123</v>
      </c>
      <c r="B26" s="20" t="s">
        <v>124</v>
      </c>
      <c r="C26" s="18">
        <f>797031</f>
        <v>797031</v>
      </c>
      <c r="D26" s="19">
        <f>796681.42</f>
        <v>796681.42</v>
      </c>
    </row>
    <row r="27" spans="1:4" ht="45">
      <c r="A27" s="24" t="s">
        <v>125</v>
      </c>
      <c r="B27" s="20" t="s">
        <v>126</v>
      </c>
      <c r="C27" s="18">
        <f>97702.44</f>
        <v>97702.44</v>
      </c>
      <c r="D27" s="19">
        <f>97687.35</f>
        <v>97687.35</v>
      </c>
    </row>
    <row r="28" spans="1:4" ht="36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97868.88</f>
        <v>97868.88</v>
      </c>
      <c r="D29" s="19">
        <f>97013.31</f>
        <v>97013.31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1507809.12</v>
      </c>
      <c r="D31" s="15">
        <f>SUM(D32:D39)</f>
        <v>462815.05999999994</v>
      </c>
    </row>
    <row r="32" spans="1:4" ht="20.25" customHeight="1">
      <c r="A32" s="24" t="s">
        <v>135</v>
      </c>
      <c r="B32" s="17" t="s">
        <v>136</v>
      </c>
      <c r="C32" s="18">
        <f>145499.2</f>
        <v>145499.20000000001</v>
      </c>
      <c r="D32" s="19">
        <f>145499.25</f>
        <v>145499.25</v>
      </c>
    </row>
    <row r="33" spans="1:7">
      <c r="A33" s="24" t="s">
        <v>137</v>
      </c>
      <c r="B33" s="17" t="s">
        <v>138</v>
      </c>
      <c r="C33" s="18">
        <f>132592.68</f>
        <v>132592.68</v>
      </c>
      <c r="D33" s="19">
        <f>101496.04</f>
        <v>101496.04</v>
      </c>
    </row>
    <row r="34" spans="1:7">
      <c r="A34" s="24" t="s">
        <v>139</v>
      </c>
      <c r="B34" s="17" t="s">
        <v>140</v>
      </c>
      <c r="C34" s="18">
        <f>211863.12</f>
        <v>211863.12</v>
      </c>
      <c r="D34" s="19">
        <f>215819.77</f>
        <v>215819.77</v>
      </c>
    </row>
    <row r="35" spans="1:7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7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7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7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7">
      <c r="A39" s="24" t="s">
        <v>149</v>
      </c>
      <c r="B39" s="17" t="s">
        <v>150</v>
      </c>
      <c r="C39" s="18">
        <v>1017854.12</v>
      </c>
      <c r="D39" s="19">
        <v>0</v>
      </c>
      <c r="G39" s="104"/>
    </row>
    <row r="40" spans="1:7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7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7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7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7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7">
      <c r="A45" s="8" t="s">
        <v>161</v>
      </c>
      <c r="B45" s="9" t="s">
        <v>162</v>
      </c>
      <c r="C45" s="26">
        <f>SUM(C46:C48)</f>
        <v>70239.650000000009</v>
      </c>
      <c r="D45" s="27">
        <f>SUM(D46:D48)</f>
        <v>1206318.8</v>
      </c>
    </row>
    <row r="46" spans="1:7">
      <c r="A46" s="21" t="s">
        <v>163</v>
      </c>
      <c r="B46" s="17" t="s">
        <v>164</v>
      </c>
      <c r="C46" s="18">
        <f>56715.12</f>
        <v>56715.12</v>
      </c>
      <c r="D46" s="19">
        <f>62832.84</f>
        <v>62832.84</v>
      </c>
    </row>
    <row r="47" spans="1:7">
      <c r="A47" s="21" t="s">
        <v>149</v>
      </c>
      <c r="B47" s="17" t="s">
        <v>165</v>
      </c>
      <c r="C47" s="18">
        <f>0</f>
        <v>0</v>
      </c>
      <c r="D47" s="19">
        <v>1129961.43</v>
      </c>
    </row>
    <row r="48" spans="1:7">
      <c r="A48" s="21" t="s">
        <v>166</v>
      </c>
      <c r="B48" s="17" t="s">
        <v>167</v>
      </c>
      <c r="C48" s="18">
        <v>13524.53</v>
      </c>
      <c r="D48" s="19">
        <v>13524.53</v>
      </c>
    </row>
    <row r="49" spans="1:4">
      <c r="A49" s="8" t="s">
        <v>440</v>
      </c>
      <c r="B49" s="28" t="s">
        <v>168</v>
      </c>
      <c r="C49" s="29">
        <f>661574.04</f>
        <v>661574.04</v>
      </c>
      <c r="D49" s="30">
        <f>847730.64</f>
        <v>847730.64</v>
      </c>
    </row>
    <row r="50" spans="1:4">
      <c r="A50" s="8" t="s">
        <v>169</v>
      </c>
      <c r="B50" s="9" t="s">
        <v>170</v>
      </c>
      <c r="C50" s="14">
        <f>C8+C25+C40+C41+C42+C43+C44+C45+C49+C51+C52</f>
        <v>9027863.4000000022</v>
      </c>
      <c r="D50" s="15">
        <f>D8+D25+D40+D41+D42+D43+D44+D45+D49+D51+D52</f>
        <v>9027863.4000000004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5124696.4800000004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4974568.08</f>
        <v>4974568.08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150128.4</f>
        <v>150128.4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2722524</f>
        <v>2722524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7847220.4800000004</v>
      </c>
      <c r="D59" s="27">
        <f>D54+D57+D58</f>
        <v>0</v>
      </c>
    </row>
    <row r="60" spans="1:4" ht="25.5">
      <c r="A60" s="33" t="s">
        <v>188</v>
      </c>
      <c r="B60" s="9"/>
      <c r="C60" s="34">
        <v>33511</v>
      </c>
      <c r="D60" s="35">
        <v>33511</v>
      </c>
    </row>
    <row r="61" spans="1:4" ht="15.75" thickBot="1">
      <c r="A61" s="36" t="s">
        <v>189</v>
      </c>
      <c r="B61" s="37"/>
      <c r="C61" s="38">
        <f>(C50+C51+C52)/C60/12</f>
        <v>22.450000000000006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414</v>
      </c>
      <c r="D7" t="s">
        <v>414</v>
      </c>
    </row>
    <row r="8" spans="3:4">
      <c r="C8" t="s">
        <v>414</v>
      </c>
      <c r="D8" t="s">
        <v>414</v>
      </c>
    </row>
    <row r="9" spans="3:4">
      <c r="C9" t="s">
        <v>414</v>
      </c>
      <c r="D9" t="s">
        <v>414</v>
      </c>
    </row>
    <row r="10" spans="3:4">
      <c r="C10" t="s">
        <v>414</v>
      </c>
      <c r="D10" t="s">
        <v>414</v>
      </c>
    </row>
    <row r="11" spans="3:4">
      <c r="C11" t="s">
        <v>414</v>
      </c>
      <c r="D11" t="s">
        <v>414</v>
      </c>
    </row>
    <row r="12" spans="3:4">
      <c r="C12" t="s">
        <v>414</v>
      </c>
      <c r="D12" t="s">
        <v>414</v>
      </c>
    </row>
    <row r="13" spans="3:4">
      <c r="C13" t="s">
        <v>414</v>
      </c>
      <c r="D13" t="s">
        <v>414</v>
      </c>
    </row>
    <row r="14" spans="3:4">
      <c r="C14" t="s">
        <v>414</v>
      </c>
      <c r="D14" t="s">
        <v>414</v>
      </c>
    </row>
    <row r="15" spans="3:4">
      <c r="C15" t="s">
        <v>414</v>
      </c>
      <c r="D15" t="s">
        <v>414</v>
      </c>
    </row>
    <row r="16" spans="3:4">
      <c r="C16" t="s">
        <v>414</v>
      </c>
      <c r="D16" t="s">
        <v>414</v>
      </c>
    </row>
    <row r="17" spans="3:4">
      <c r="C17" t="s">
        <v>414</v>
      </c>
      <c r="D17" t="s">
        <v>414</v>
      </c>
    </row>
    <row r="18" spans="3:4">
      <c r="C18" t="s">
        <v>414</v>
      </c>
      <c r="D18" t="s">
        <v>414</v>
      </c>
    </row>
    <row r="19" spans="3:4">
      <c r="C19" t="s">
        <v>414</v>
      </c>
      <c r="D19" t="s">
        <v>414</v>
      </c>
    </row>
    <row r="20" spans="3:4">
      <c r="C20" t="s">
        <v>414</v>
      </c>
      <c r="D20" t="s">
        <v>414</v>
      </c>
    </row>
    <row r="21" spans="3:4">
      <c r="C21" t="s">
        <v>414</v>
      </c>
      <c r="D21" t="s">
        <v>414</v>
      </c>
    </row>
    <row r="22" spans="3:4">
      <c r="C22" t="s">
        <v>414</v>
      </c>
      <c r="D22" t="s">
        <v>414</v>
      </c>
    </row>
    <row r="23" spans="3:4">
      <c r="C23" t="s">
        <v>414</v>
      </c>
      <c r="D23" t="s">
        <v>414</v>
      </c>
    </row>
    <row r="24" spans="3:4">
      <c r="C24" t="s">
        <v>414</v>
      </c>
      <c r="D24" t="s">
        <v>414</v>
      </c>
    </row>
    <row r="25" spans="3:4">
      <c r="C25" t="s">
        <v>414</v>
      </c>
      <c r="D25" t="s">
        <v>414</v>
      </c>
    </row>
    <row r="26" spans="3:4">
      <c r="C26" t="s">
        <v>414</v>
      </c>
      <c r="D26" t="s">
        <v>414</v>
      </c>
    </row>
    <row r="27" spans="3:4">
      <c r="C27" t="s">
        <v>414</v>
      </c>
      <c r="D27" t="s">
        <v>414</v>
      </c>
    </row>
    <row r="28" spans="3:4">
      <c r="C28" t="s">
        <v>414</v>
      </c>
      <c r="D28" t="s">
        <v>414</v>
      </c>
    </row>
    <row r="29" spans="3:4">
      <c r="C29" t="s">
        <v>414</v>
      </c>
      <c r="D29" t="s">
        <v>414</v>
      </c>
    </row>
    <row r="30" spans="3:4">
      <c r="C30" t="s">
        <v>414</v>
      </c>
      <c r="D30" t="s">
        <v>414</v>
      </c>
    </row>
    <row r="31" spans="3:4">
      <c r="C31" t="s">
        <v>414</v>
      </c>
      <c r="D31" t="s">
        <v>414</v>
      </c>
    </row>
    <row r="32" spans="3:4">
      <c r="C32" t="s">
        <v>414</v>
      </c>
      <c r="D32" t="s">
        <v>414</v>
      </c>
    </row>
    <row r="33" spans="3:4">
      <c r="C33" t="s">
        <v>414</v>
      </c>
      <c r="D33" t="s">
        <v>414</v>
      </c>
    </row>
    <row r="34" spans="3:4">
      <c r="C34" t="s">
        <v>414</v>
      </c>
      <c r="D34" t="s">
        <v>414</v>
      </c>
    </row>
    <row r="35" spans="3:4">
      <c r="C35" t="s">
        <v>414</v>
      </c>
      <c r="D35" t="s">
        <v>414</v>
      </c>
    </row>
    <row r="36" spans="3:4">
      <c r="C36" t="s">
        <v>414</v>
      </c>
      <c r="D36" t="s">
        <v>414</v>
      </c>
    </row>
    <row r="37" spans="3:4">
      <c r="C37" t="s">
        <v>414</v>
      </c>
      <c r="D37" t="s">
        <v>414</v>
      </c>
    </row>
    <row r="38" spans="3:4">
      <c r="C38" t="s">
        <v>414</v>
      </c>
      <c r="D38" t="s">
        <v>414</v>
      </c>
    </row>
    <row r="39" spans="3:4">
      <c r="C39" t="s">
        <v>414</v>
      </c>
      <c r="D39" t="s">
        <v>414</v>
      </c>
    </row>
    <row r="40" spans="3:4">
      <c r="C40" t="s">
        <v>414</v>
      </c>
      <c r="D40" t="s">
        <v>414</v>
      </c>
    </row>
    <row r="41" spans="3:4">
      <c r="C41" t="s">
        <v>414</v>
      </c>
      <c r="D41" t="s">
        <v>414</v>
      </c>
    </row>
    <row r="42" spans="3:4">
      <c r="C42" t="s">
        <v>414</v>
      </c>
      <c r="D42" t="s">
        <v>414</v>
      </c>
    </row>
    <row r="43" spans="3:4">
      <c r="C43" t="s">
        <v>414</v>
      </c>
      <c r="D43" t="s">
        <v>414</v>
      </c>
    </row>
    <row r="44" spans="3:4">
      <c r="C44" t="s">
        <v>414</v>
      </c>
      <c r="D44" t="s">
        <v>414</v>
      </c>
    </row>
    <row r="45" spans="3:4">
      <c r="C45" t="s">
        <v>414</v>
      </c>
      <c r="D45" t="s">
        <v>414</v>
      </c>
    </row>
    <row r="46" spans="3:4">
      <c r="C46" t="s">
        <v>414</v>
      </c>
      <c r="D46" t="s">
        <v>414</v>
      </c>
    </row>
    <row r="47" spans="3:4">
      <c r="C47" t="s">
        <v>414</v>
      </c>
      <c r="D47" t="s">
        <v>414</v>
      </c>
    </row>
    <row r="48" spans="3:4">
      <c r="C48" t="s">
        <v>414</v>
      </c>
      <c r="D48" t="s">
        <v>414</v>
      </c>
    </row>
    <row r="49" spans="3:4">
      <c r="C49" t="s">
        <v>414</v>
      </c>
      <c r="D49" t="s">
        <v>414</v>
      </c>
    </row>
    <row r="50" spans="3:4">
      <c r="C50" t="s">
        <v>414</v>
      </c>
      <c r="D50" t="s">
        <v>414</v>
      </c>
    </row>
    <row r="51" spans="3:4">
      <c r="C51" t="s">
        <v>414</v>
      </c>
      <c r="D51" t="s">
        <v>414</v>
      </c>
    </row>
    <row r="52" spans="3:4">
      <c r="C52" t="s">
        <v>414</v>
      </c>
      <c r="D52" t="s">
        <v>414</v>
      </c>
    </row>
    <row r="53" spans="3:4">
      <c r="C53" t="s">
        <v>414</v>
      </c>
      <c r="D53" t="s">
        <v>414</v>
      </c>
    </row>
    <row r="54" spans="3:4">
      <c r="C54" t="s">
        <v>414</v>
      </c>
      <c r="D54" t="s">
        <v>414</v>
      </c>
    </row>
    <row r="55" spans="3:4">
      <c r="C55" t="s">
        <v>414</v>
      </c>
      <c r="D55" t="s">
        <v>414</v>
      </c>
    </row>
    <row r="56" spans="3:4">
      <c r="C56" t="s">
        <v>414</v>
      </c>
      <c r="D56" t="s">
        <v>414</v>
      </c>
    </row>
    <row r="57" spans="3:4">
      <c r="C57" t="s">
        <v>414</v>
      </c>
      <c r="D57" t="s">
        <v>414</v>
      </c>
    </row>
    <row r="58" spans="3:4">
      <c r="C58" t="s">
        <v>414</v>
      </c>
      <c r="D58" t="s">
        <v>414</v>
      </c>
    </row>
    <row r="59" spans="3:4">
      <c r="C59" t="s">
        <v>414</v>
      </c>
      <c r="D59" t="s">
        <v>414</v>
      </c>
    </row>
    <row r="60" spans="3:4">
      <c r="C60" t="s">
        <v>414</v>
      </c>
      <c r="D60" t="s">
        <v>414</v>
      </c>
    </row>
    <row r="61" spans="3:4">
      <c r="C61" t="s">
        <v>414</v>
      </c>
      <c r="D61" t="s">
        <v>414</v>
      </c>
    </row>
    <row r="62" spans="3:4">
      <c r="C62" t="s">
        <v>414</v>
      </c>
      <c r="D62" t="s">
        <v>414</v>
      </c>
    </row>
    <row r="63" spans="3:4">
      <c r="C63" t="s">
        <v>414</v>
      </c>
      <c r="D63" t="s">
        <v>414</v>
      </c>
    </row>
    <row r="64" spans="3:4">
      <c r="C64" t="s">
        <v>414</v>
      </c>
      <c r="D64" t="s">
        <v>414</v>
      </c>
    </row>
    <row r="65" spans="3:4">
      <c r="C65" t="s">
        <v>414</v>
      </c>
      <c r="D65" t="s">
        <v>414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412</v>
      </c>
      <c r="D7" t="s">
        <v>412</v>
      </c>
    </row>
    <row r="8" spans="3:4">
      <c r="C8" t="s">
        <v>412</v>
      </c>
      <c r="D8" t="s">
        <v>412</v>
      </c>
    </row>
    <row r="9" spans="3:4">
      <c r="C9" t="s">
        <v>412</v>
      </c>
      <c r="D9" t="s">
        <v>412</v>
      </c>
    </row>
    <row r="10" spans="3:4">
      <c r="C10" t="s">
        <v>412</v>
      </c>
      <c r="D10" t="s">
        <v>412</v>
      </c>
    </row>
    <row r="11" spans="3:4">
      <c r="C11" t="s">
        <v>412</v>
      </c>
      <c r="D11" t="s">
        <v>412</v>
      </c>
    </row>
    <row r="12" spans="3:4">
      <c r="C12" t="s">
        <v>412</v>
      </c>
      <c r="D12" t="s">
        <v>412</v>
      </c>
    </row>
    <row r="13" spans="3:4">
      <c r="C13" t="s">
        <v>412</v>
      </c>
      <c r="D13" t="s">
        <v>412</v>
      </c>
    </row>
    <row r="14" spans="3:4">
      <c r="C14" t="s">
        <v>412</v>
      </c>
      <c r="D14" t="s">
        <v>412</v>
      </c>
    </row>
    <row r="15" spans="3:4">
      <c r="C15" t="s">
        <v>412</v>
      </c>
      <c r="D15" t="s">
        <v>412</v>
      </c>
    </row>
    <row r="16" spans="3:4">
      <c r="C16" t="s">
        <v>412</v>
      </c>
      <c r="D16" t="s">
        <v>412</v>
      </c>
    </row>
    <row r="17" spans="3:4">
      <c r="C17" t="s">
        <v>412</v>
      </c>
      <c r="D17" t="s">
        <v>412</v>
      </c>
    </row>
    <row r="18" spans="3:4">
      <c r="C18" t="s">
        <v>412</v>
      </c>
      <c r="D18" t="s">
        <v>412</v>
      </c>
    </row>
    <row r="19" spans="3:4">
      <c r="C19" t="s">
        <v>412</v>
      </c>
      <c r="D19" t="s">
        <v>412</v>
      </c>
    </row>
    <row r="20" spans="3:4">
      <c r="C20" t="s">
        <v>412</v>
      </c>
      <c r="D20" t="s">
        <v>412</v>
      </c>
    </row>
    <row r="21" spans="3:4">
      <c r="C21" t="s">
        <v>412</v>
      </c>
      <c r="D21" t="s">
        <v>412</v>
      </c>
    </row>
    <row r="22" spans="3:4">
      <c r="C22" t="s">
        <v>412</v>
      </c>
      <c r="D22" t="s">
        <v>412</v>
      </c>
    </row>
    <row r="23" spans="3:4">
      <c r="C23" t="s">
        <v>412</v>
      </c>
      <c r="D23" t="s">
        <v>412</v>
      </c>
    </row>
    <row r="24" spans="3:4">
      <c r="C24" t="s">
        <v>412</v>
      </c>
      <c r="D24" t="s">
        <v>412</v>
      </c>
    </row>
    <row r="25" spans="3:4">
      <c r="C25" t="s">
        <v>412</v>
      </c>
      <c r="D25" t="s">
        <v>412</v>
      </c>
    </row>
    <row r="26" spans="3:4">
      <c r="C26" t="s">
        <v>412</v>
      </c>
      <c r="D26" t="s">
        <v>412</v>
      </c>
    </row>
    <row r="27" spans="3:4">
      <c r="C27" t="s">
        <v>412</v>
      </c>
      <c r="D27" t="s">
        <v>412</v>
      </c>
    </row>
    <row r="28" spans="3:4">
      <c r="C28" t="s">
        <v>412</v>
      </c>
      <c r="D28" t="s">
        <v>412</v>
      </c>
    </row>
    <row r="29" spans="3:4">
      <c r="C29" t="s">
        <v>412</v>
      </c>
      <c r="D29" t="s">
        <v>412</v>
      </c>
    </row>
    <row r="30" spans="3:4">
      <c r="C30" t="s">
        <v>412</v>
      </c>
      <c r="D30" t="s">
        <v>412</v>
      </c>
    </row>
    <row r="31" spans="3:4">
      <c r="C31" t="s">
        <v>412</v>
      </c>
      <c r="D31" t="s">
        <v>412</v>
      </c>
    </row>
    <row r="32" spans="3:4">
      <c r="C32" t="s">
        <v>412</v>
      </c>
      <c r="D32" t="s">
        <v>412</v>
      </c>
    </row>
    <row r="33" spans="3:4">
      <c r="C33" t="s">
        <v>412</v>
      </c>
      <c r="D33" t="s">
        <v>412</v>
      </c>
    </row>
    <row r="34" spans="3:4">
      <c r="C34" t="s">
        <v>412</v>
      </c>
      <c r="D34" t="s">
        <v>412</v>
      </c>
    </row>
    <row r="35" spans="3:4">
      <c r="C35" t="s">
        <v>412</v>
      </c>
      <c r="D35" t="s">
        <v>412</v>
      </c>
    </row>
    <row r="36" spans="3:4">
      <c r="C36" t="s">
        <v>412</v>
      </c>
      <c r="D36" t="s">
        <v>412</v>
      </c>
    </row>
    <row r="37" spans="3:4">
      <c r="C37" t="s">
        <v>412</v>
      </c>
      <c r="D37" t="s">
        <v>412</v>
      </c>
    </row>
    <row r="38" spans="3:4">
      <c r="C38" t="s">
        <v>412</v>
      </c>
      <c r="D38" t="s">
        <v>412</v>
      </c>
    </row>
    <row r="39" spans="3:4">
      <c r="C39" t="s">
        <v>412</v>
      </c>
      <c r="D39" t="s">
        <v>412</v>
      </c>
    </row>
    <row r="40" spans="3:4">
      <c r="C40" t="s">
        <v>412</v>
      </c>
      <c r="D40" t="s">
        <v>412</v>
      </c>
    </row>
    <row r="41" spans="3:4">
      <c r="C41" t="s">
        <v>412</v>
      </c>
      <c r="D41" t="s">
        <v>412</v>
      </c>
    </row>
    <row r="42" spans="3:4">
      <c r="C42" t="s">
        <v>412</v>
      </c>
      <c r="D42" t="s">
        <v>412</v>
      </c>
    </row>
    <row r="43" spans="3:4">
      <c r="C43" t="s">
        <v>412</v>
      </c>
      <c r="D43" t="s">
        <v>412</v>
      </c>
    </row>
    <row r="44" spans="3:4">
      <c r="C44" t="s">
        <v>412</v>
      </c>
      <c r="D44" t="s">
        <v>412</v>
      </c>
    </row>
    <row r="45" spans="3:4">
      <c r="C45" t="s">
        <v>412</v>
      </c>
      <c r="D45" t="s">
        <v>412</v>
      </c>
    </row>
    <row r="46" spans="3:4">
      <c r="C46" t="s">
        <v>412</v>
      </c>
      <c r="D46" t="s">
        <v>412</v>
      </c>
    </row>
    <row r="47" spans="3:4">
      <c r="C47" t="s">
        <v>412</v>
      </c>
      <c r="D47" t="s">
        <v>412</v>
      </c>
    </row>
    <row r="48" spans="3:4">
      <c r="C48" t="s">
        <v>412</v>
      </c>
      <c r="D48" t="s">
        <v>412</v>
      </c>
    </row>
    <row r="49" spans="3:4">
      <c r="C49" t="s">
        <v>412</v>
      </c>
      <c r="D49" t="s">
        <v>412</v>
      </c>
    </row>
    <row r="50" spans="3:4">
      <c r="C50" t="s">
        <v>412</v>
      </c>
      <c r="D50" t="s">
        <v>412</v>
      </c>
    </row>
    <row r="51" spans="3:4">
      <c r="C51" t="s">
        <v>412</v>
      </c>
      <c r="D51" t="s">
        <v>412</v>
      </c>
    </row>
    <row r="52" spans="3:4">
      <c r="C52" t="s">
        <v>412</v>
      </c>
      <c r="D52" t="s">
        <v>412</v>
      </c>
    </row>
    <row r="53" spans="3:4">
      <c r="C53" t="s">
        <v>412</v>
      </c>
      <c r="D53" t="s">
        <v>412</v>
      </c>
    </row>
    <row r="54" spans="3:4">
      <c r="C54" t="s">
        <v>412</v>
      </c>
      <c r="D54" t="s">
        <v>412</v>
      </c>
    </row>
    <row r="55" spans="3:4">
      <c r="C55" t="s">
        <v>412</v>
      </c>
      <c r="D55" t="s">
        <v>412</v>
      </c>
    </row>
    <row r="56" spans="3:4">
      <c r="C56" t="s">
        <v>412</v>
      </c>
      <c r="D56" t="s">
        <v>412</v>
      </c>
    </row>
    <row r="57" spans="3:4">
      <c r="C57" t="s">
        <v>412</v>
      </c>
      <c r="D57" t="s">
        <v>412</v>
      </c>
    </row>
    <row r="58" spans="3:4">
      <c r="C58" t="s">
        <v>412</v>
      </c>
      <c r="D58" t="s">
        <v>412</v>
      </c>
    </row>
    <row r="59" spans="3:4">
      <c r="C59" t="s">
        <v>412</v>
      </c>
      <c r="D59" t="s">
        <v>412</v>
      </c>
    </row>
    <row r="60" spans="3:4">
      <c r="C60" t="s">
        <v>412</v>
      </c>
      <c r="D60" t="s">
        <v>412</v>
      </c>
    </row>
    <row r="61" spans="3:4">
      <c r="C61" t="s">
        <v>412</v>
      </c>
      <c r="D61" t="s">
        <v>412</v>
      </c>
    </row>
    <row r="62" spans="3:4">
      <c r="C62" t="s">
        <v>412</v>
      </c>
      <c r="D62" t="s">
        <v>412</v>
      </c>
    </row>
    <row r="63" spans="3:4">
      <c r="C63" t="s">
        <v>412</v>
      </c>
      <c r="D63" t="s">
        <v>412</v>
      </c>
    </row>
    <row r="64" spans="3:4">
      <c r="C64" t="s">
        <v>412</v>
      </c>
      <c r="D64" t="s">
        <v>412</v>
      </c>
    </row>
    <row r="65" spans="3:4">
      <c r="C65" t="s">
        <v>412</v>
      </c>
      <c r="D65" t="s">
        <v>412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410</v>
      </c>
      <c r="D7" t="s">
        <v>410</v>
      </c>
    </row>
    <row r="8" spans="3:4">
      <c r="C8" t="s">
        <v>410</v>
      </c>
      <c r="D8" t="s">
        <v>410</v>
      </c>
    </row>
    <row r="9" spans="3:4">
      <c r="C9" t="s">
        <v>410</v>
      </c>
      <c r="D9" t="s">
        <v>410</v>
      </c>
    </row>
    <row r="10" spans="3:4">
      <c r="C10" t="s">
        <v>410</v>
      </c>
      <c r="D10" t="s">
        <v>410</v>
      </c>
    </row>
    <row r="11" spans="3:4">
      <c r="C11" t="s">
        <v>410</v>
      </c>
      <c r="D11" t="s">
        <v>410</v>
      </c>
    </row>
    <row r="12" spans="3:4">
      <c r="C12" t="s">
        <v>410</v>
      </c>
      <c r="D12" t="s">
        <v>410</v>
      </c>
    </row>
    <row r="13" spans="3:4">
      <c r="C13" t="s">
        <v>410</v>
      </c>
      <c r="D13" t="s">
        <v>410</v>
      </c>
    </row>
    <row r="14" spans="3:4">
      <c r="C14" t="s">
        <v>410</v>
      </c>
      <c r="D14" t="s">
        <v>410</v>
      </c>
    </row>
    <row r="15" spans="3:4">
      <c r="C15" t="s">
        <v>410</v>
      </c>
      <c r="D15" t="s">
        <v>410</v>
      </c>
    </row>
    <row r="16" spans="3:4">
      <c r="C16" t="s">
        <v>410</v>
      </c>
      <c r="D16" t="s">
        <v>410</v>
      </c>
    </row>
    <row r="17" spans="3:4">
      <c r="C17" t="s">
        <v>410</v>
      </c>
      <c r="D17" t="s">
        <v>410</v>
      </c>
    </row>
    <row r="18" spans="3:4">
      <c r="C18" t="s">
        <v>410</v>
      </c>
      <c r="D18" t="s">
        <v>410</v>
      </c>
    </row>
    <row r="19" spans="3:4">
      <c r="C19" t="s">
        <v>410</v>
      </c>
      <c r="D19" t="s">
        <v>410</v>
      </c>
    </row>
    <row r="20" spans="3:4">
      <c r="C20" t="s">
        <v>410</v>
      </c>
      <c r="D20" t="s">
        <v>410</v>
      </c>
    </row>
    <row r="21" spans="3:4">
      <c r="C21" t="s">
        <v>410</v>
      </c>
      <c r="D21" t="s">
        <v>410</v>
      </c>
    </row>
    <row r="22" spans="3:4">
      <c r="C22" t="s">
        <v>410</v>
      </c>
      <c r="D22" t="s">
        <v>410</v>
      </c>
    </row>
    <row r="23" spans="3:4">
      <c r="C23" t="s">
        <v>410</v>
      </c>
      <c r="D23" t="s">
        <v>410</v>
      </c>
    </row>
    <row r="24" spans="3:4">
      <c r="C24" t="s">
        <v>410</v>
      </c>
      <c r="D24" t="s">
        <v>410</v>
      </c>
    </row>
    <row r="25" spans="3:4">
      <c r="C25" t="s">
        <v>410</v>
      </c>
      <c r="D25" t="s">
        <v>410</v>
      </c>
    </row>
    <row r="26" spans="3:4">
      <c r="C26" t="s">
        <v>410</v>
      </c>
      <c r="D26" t="s">
        <v>410</v>
      </c>
    </row>
    <row r="27" spans="3:4">
      <c r="C27" t="s">
        <v>410</v>
      </c>
      <c r="D27" t="s">
        <v>410</v>
      </c>
    </row>
    <row r="28" spans="3:4">
      <c r="C28" t="s">
        <v>410</v>
      </c>
      <c r="D28" t="s">
        <v>410</v>
      </c>
    </row>
    <row r="29" spans="3:4">
      <c r="C29" t="s">
        <v>410</v>
      </c>
      <c r="D29" t="s">
        <v>410</v>
      </c>
    </row>
    <row r="30" spans="3:4">
      <c r="C30" t="s">
        <v>410</v>
      </c>
      <c r="D30" t="s">
        <v>410</v>
      </c>
    </row>
    <row r="31" spans="3:4">
      <c r="C31" t="s">
        <v>410</v>
      </c>
      <c r="D31" t="s">
        <v>410</v>
      </c>
    </row>
    <row r="32" spans="3:4">
      <c r="C32" t="s">
        <v>410</v>
      </c>
      <c r="D32" t="s">
        <v>410</v>
      </c>
    </row>
    <row r="33" spans="3:4">
      <c r="C33" t="s">
        <v>410</v>
      </c>
      <c r="D33" t="s">
        <v>410</v>
      </c>
    </row>
    <row r="34" spans="3:4">
      <c r="C34" t="s">
        <v>410</v>
      </c>
      <c r="D34" t="s">
        <v>410</v>
      </c>
    </row>
    <row r="35" spans="3:4">
      <c r="C35" t="s">
        <v>410</v>
      </c>
      <c r="D35" t="s">
        <v>410</v>
      </c>
    </row>
    <row r="36" spans="3:4">
      <c r="C36" t="s">
        <v>410</v>
      </c>
      <c r="D36" t="s">
        <v>410</v>
      </c>
    </row>
    <row r="37" spans="3:4">
      <c r="C37" t="s">
        <v>410</v>
      </c>
      <c r="D37" t="s">
        <v>410</v>
      </c>
    </row>
    <row r="38" spans="3:4">
      <c r="C38" t="s">
        <v>410</v>
      </c>
      <c r="D38" t="s">
        <v>410</v>
      </c>
    </row>
    <row r="39" spans="3:4">
      <c r="C39" t="s">
        <v>410</v>
      </c>
      <c r="D39" t="s">
        <v>410</v>
      </c>
    </row>
    <row r="40" spans="3:4">
      <c r="C40" t="s">
        <v>410</v>
      </c>
      <c r="D40" t="s">
        <v>410</v>
      </c>
    </row>
    <row r="41" spans="3:4">
      <c r="C41" t="s">
        <v>410</v>
      </c>
      <c r="D41" t="s">
        <v>410</v>
      </c>
    </row>
    <row r="42" spans="3:4">
      <c r="C42" t="s">
        <v>410</v>
      </c>
      <c r="D42" t="s">
        <v>410</v>
      </c>
    </row>
    <row r="43" spans="3:4">
      <c r="C43" t="s">
        <v>410</v>
      </c>
      <c r="D43" t="s">
        <v>410</v>
      </c>
    </row>
    <row r="44" spans="3:4">
      <c r="C44" t="s">
        <v>410</v>
      </c>
      <c r="D44" t="s">
        <v>410</v>
      </c>
    </row>
    <row r="45" spans="3:4">
      <c r="C45" t="s">
        <v>410</v>
      </c>
      <c r="D45" t="s">
        <v>410</v>
      </c>
    </row>
    <row r="46" spans="3:4">
      <c r="C46" t="s">
        <v>410</v>
      </c>
      <c r="D46" t="s">
        <v>410</v>
      </c>
    </row>
    <row r="47" spans="3:4">
      <c r="C47" t="s">
        <v>410</v>
      </c>
      <c r="D47" t="s">
        <v>410</v>
      </c>
    </row>
    <row r="48" spans="3:4">
      <c r="C48" t="s">
        <v>410</v>
      </c>
      <c r="D48" t="s">
        <v>410</v>
      </c>
    </row>
    <row r="49" spans="3:4">
      <c r="C49" t="s">
        <v>410</v>
      </c>
      <c r="D49" t="s">
        <v>410</v>
      </c>
    </row>
    <row r="50" spans="3:4">
      <c r="C50" t="s">
        <v>410</v>
      </c>
      <c r="D50" t="s">
        <v>410</v>
      </c>
    </row>
    <row r="51" spans="3:4">
      <c r="C51" t="s">
        <v>410</v>
      </c>
      <c r="D51" t="s">
        <v>410</v>
      </c>
    </row>
    <row r="52" spans="3:4">
      <c r="C52" t="s">
        <v>410</v>
      </c>
      <c r="D52" t="s">
        <v>410</v>
      </c>
    </row>
    <row r="53" spans="3:4">
      <c r="C53" t="s">
        <v>410</v>
      </c>
      <c r="D53" t="s">
        <v>410</v>
      </c>
    </row>
    <row r="54" spans="3:4">
      <c r="C54" t="s">
        <v>410</v>
      </c>
      <c r="D54" t="s">
        <v>410</v>
      </c>
    </row>
    <row r="55" spans="3:4">
      <c r="C55" t="s">
        <v>410</v>
      </c>
      <c r="D55" t="s">
        <v>410</v>
      </c>
    </row>
    <row r="56" spans="3:4">
      <c r="C56" t="s">
        <v>410</v>
      </c>
      <c r="D56" t="s">
        <v>410</v>
      </c>
    </row>
    <row r="57" spans="3:4">
      <c r="C57" t="s">
        <v>410</v>
      </c>
      <c r="D57" t="s">
        <v>410</v>
      </c>
    </row>
    <row r="58" spans="3:4">
      <c r="C58" t="s">
        <v>410</v>
      </c>
      <c r="D58" t="s">
        <v>410</v>
      </c>
    </row>
    <row r="59" spans="3:4">
      <c r="C59" t="s">
        <v>410</v>
      </c>
      <c r="D59" t="s">
        <v>410</v>
      </c>
    </row>
    <row r="60" spans="3:4">
      <c r="C60" t="s">
        <v>410</v>
      </c>
      <c r="D60" t="s">
        <v>410</v>
      </c>
    </row>
    <row r="61" spans="3:4">
      <c r="C61" t="s">
        <v>410</v>
      </c>
      <c r="D61" t="s">
        <v>410</v>
      </c>
    </row>
    <row r="62" spans="3:4">
      <c r="C62" t="s">
        <v>410</v>
      </c>
      <c r="D62" t="s">
        <v>410</v>
      </c>
    </row>
    <row r="63" spans="3:4">
      <c r="C63" t="s">
        <v>410</v>
      </c>
      <c r="D63" t="s">
        <v>410</v>
      </c>
    </row>
    <row r="64" spans="3:4">
      <c r="C64" t="s">
        <v>410</v>
      </c>
      <c r="D64" t="s">
        <v>410</v>
      </c>
    </row>
    <row r="65" spans="3:4">
      <c r="C65" t="s">
        <v>410</v>
      </c>
      <c r="D65" t="s">
        <v>410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409</v>
      </c>
      <c r="D7" t="s">
        <v>409</v>
      </c>
    </row>
    <row r="8" spans="3:4">
      <c r="C8" t="s">
        <v>409</v>
      </c>
      <c r="D8" t="s">
        <v>409</v>
      </c>
    </row>
    <row r="9" spans="3:4">
      <c r="C9" t="s">
        <v>409</v>
      </c>
      <c r="D9" t="s">
        <v>409</v>
      </c>
    </row>
    <row r="10" spans="3:4">
      <c r="C10" t="s">
        <v>409</v>
      </c>
      <c r="D10" t="s">
        <v>409</v>
      </c>
    </row>
    <row r="11" spans="3:4">
      <c r="C11" t="s">
        <v>409</v>
      </c>
      <c r="D11" t="s">
        <v>409</v>
      </c>
    </row>
    <row r="12" spans="3:4">
      <c r="C12" t="s">
        <v>409</v>
      </c>
      <c r="D12" t="s">
        <v>409</v>
      </c>
    </row>
    <row r="13" spans="3:4">
      <c r="C13" t="s">
        <v>409</v>
      </c>
      <c r="D13" t="s">
        <v>409</v>
      </c>
    </row>
    <row r="14" spans="3:4">
      <c r="C14" t="s">
        <v>409</v>
      </c>
      <c r="D14" t="s">
        <v>409</v>
      </c>
    </row>
    <row r="15" spans="3:4">
      <c r="C15" t="s">
        <v>409</v>
      </c>
      <c r="D15" t="s">
        <v>409</v>
      </c>
    </row>
    <row r="16" spans="3:4">
      <c r="C16" t="s">
        <v>409</v>
      </c>
      <c r="D16" t="s">
        <v>409</v>
      </c>
    </row>
    <row r="17" spans="3:4">
      <c r="C17" t="s">
        <v>409</v>
      </c>
      <c r="D17" t="s">
        <v>409</v>
      </c>
    </row>
    <row r="18" spans="3:4">
      <c r="C18" t="s">
        <v>409</v>
      </c>
      <c r="D18" t="s">
        <v>409</v>
      </c>
    </row>
    <row r="19" spans="3:4">
      <c r="C19" t="s">
        <v>409</v>
      </c>
      <c r="D19" t="s">
        <v>409</v>
      </c>
    </row>
    <row r="20" spans="3:4">
      <c r="C20" t="s">
        <v>409</v>
      </c>
      <c r="D20" t="s">
        <v>409</v>
      </c>
    </row>
    <row r="21" spans="3:4">
      <c r="C21" t="s">
        <v>409</v>
      </c>
      <c r="D21" t="s">
        <v>409</v>
      </c>
    </row>
    <row r="22" spans="3:4">
      <c r="C22" t="s">
        <v>409</v>
      </c>
      <c r="D22" t="s">
        <v>409</v>
      </c>
    </row>
    <row r="23" spans="3:4">
      <c r="C23" t="s">
        <v>409</v>
      </c>
      <c r="D23" t="s">
        <v>409</v>
      </c>
    </row>
    <row r="24" spans="3:4">
      <c r="C24" t="s">
        <v>409</v>
      </c>
      <c r="D24" t="s">
        <v>409</v>
      </c>
    </row>
    <row r="25" spans="3:4">
      <c r="C25" t="s">
        <v>409</v>
      </c>
      <c r="D25" t="s">
        <v>409</v>
      </c>
    </row>
    <row r="26" spans="3:4">
      <c r="C26" t="s">
        <v>409</v>
      </c>
      <c r="D26" t="s">
        <v>409</v>
      </c>
    </row>
    <row r="27" spans="3:4">
      <c r="C27" t="s">
        <v>409</v>
      </c>
      <c r="D27" t="s">
        <v>409</v>
      </c>
    </row>
    <row r="28" spans="3:4">
      <c r="C28" t="s">
        <v>409</v>
      </c>
      <c r="D28" t="s">
        <v>409</v>
      </c>
    </row>
    <row r="29" spans="3:4">
      <c r="C29" t="s">
        <v>409</v>
      </c>
      <c r="D29" t="s">
        <v>409</v>
      </c>
    </row>
    <row r="30" spans="3:4">
      <c r="C30" t="s">
        <v>409</v>
      </c>
      <c r="D30" t="s">
        <v>409</v>
      </c>
    </row>
    <row r="31" spans="3:4">
      <c r="C31" t="s">
        <v>409</v>
      </c>
      <c r="D31" t="s">
        <v>409</v>
      </c>
    </row>
    <row r="32" spans="3:4">
      <c r="C32" t="s">
        <v>409</v>
      </c>
      <c r="D32" t="s">
        <v>409</v>
      </c>
    </row>
    <row r="33" spans="3:4">
      <c r="C33" t="s">
        <v>409</v>
      </c>
      <c r="D33" t="s">
        <v>409</v>
      </c>
    </row>
    <row r="34" spans="3:4">
      <c r="C34" t="s">
        <v>409</v>
      </c>
      <c r="D34" t="s">
        <v>409</v>
      </c>
    </row>
    <row r="35" spans="3:4">
      <c r="C35" t="s">
        <v>409</v>
      </c>
      <c r="D35" t="s">
        <v>409</v>
      </c>
    </row>
    <row r="36" spans="3:4">
      <c r="C36" t="s">
        <v>409</v>
      </c>
      <c r="D36" t="s">
        <v>409</v>
      </c>
    </row>
    <row r="37" spans="3:4">
      <c r="C37" t="s">
        <v>409</v>
      </c>
      <c r="D37" t="s">
        <v>409</v>
      </c>
    </row>
    <row r="38" spans="3:4">
      <c r="C38" t="s">
        <v>409</v>
      </c>
      <c r="D38" t="s">
        <v>409</v>
      </c>
    </row>
    <row r="39" spans="3:4">
      <c r="C39" t="s">
        <v>409</v>
      </c>
      <c r="D39" t="s">
        <v>409</v>
      </c>
    </row>
    <row r="40" spans="3:4">
      <c r="C40" t="s">
        <v>409</v>
      </c>
      <c r="D40" t="s">
        <v>409</v>
      </c>
    </row>
    <row r="41" spans="3:4">
      <c r="C41" t="s">
        <v>409</v>
      </c>
      <c r="D41" t="s">
        <v>409</v>
      </c>
    </row>
    <row r="42" spans="3:4">
      <c r="C42" t="s">
        <v>409</v>
      </c>
      <c r="D42" t="s">
        <v>409</v>
      </c>
    </row>
    <row r="43" spans="3:4">
      <c r="C43" t="s">
        <v>409</v>
      </c>
      <c r="D43" t="s">
        <v>409</v>
      </c>
    </row>
    <row r="44" spans="3:4">
      <c r="C44" t="s">
        <v>409</v>
      </c>
      <c r="D44" t="s">
        <v>409</v>
      </c>
    </row>
    <row r="45" spans="3:4">
      <c r="C45" t="s">
        <v>409</v>
      </c>
      <c r="D45" t="s">
        <v>409</v>
      </c>
    </row>
    <row r="46" spans="3:4">
      <c r="C46" t="s">
        <v>409</v>
      </c>
      <c r="D46" t="s">
        <v>409</v>
      </c>
    </row>
    <row r="47" spans="3:4">
      <c r="C47" t="s">
        <v>409</v>
      </c>
      <c r="D47" t="s">
        <v>409</v>
      </c>
    </row>
    <row r="48" spans="3:4">
      <c r="C48" t="s">
        <v>409</v>
      </c>
      <c r="D48" t="s">
        <v>409</v>
      </c>
    </row>
    <row r="49" spans="3:4">
      <c r="C49" t="s">
        <v>409</v>
      </c>
      <c r="D49" t="s">
        <v>409</v>
      </c>
    </row>
    <row r="50" spans="3:4">
      <c r="C50" t="s">
        <v>409</v>
      </c>
      <c r="D50" t="s">
        <v>409</v>
      </c>
    </row>
    <row r="51" spans="3:4">
      <c r="C51" t="s">
        <v>409</v>
      </c>
      <c r="D51" t="s">
        <v>409</v>
      </c>
    </row>
    <row r="52" spans="3:4">
      <c r="C52" t="s">
        <v>409</v>
      </c>
      <c r="D52" t="s">
        <v>409</v>
      </c>
    </row>
    <row r="53" spans="3:4">
      <c r="C53" t="s">
        <v>409</v>
      </c>
      <c r="D53" t="s">
        <v>409</v>
      </c>
    </row>
    <row r="54" spans="3:4">
      <c r="C54" t="s">
        <v>409</v>
      </c>
      <c r="D54" t="s">
        <v>409</v>
      </c>
    </row>
    <row r="55" spans="3:4">
      <c r="C55" t="s">
        <v>409</v>
      </c>
      <c r="D55" t="s">
        <v>409</v>
      </c>
    </row>
    <row r="56" spans="3:4">
      <c r="C56" t="s">
        <v>409</v>
      </c>
      <c r="D56" t="s">
        <v>409</v>
      </c>
    </row>
    <row r="57" spans="3:4">
      <c r="C57" t="s">
        <v>409</v>
      </c>
      <c r="D57" t="s">
        <v>409</v>
      </c>
    </row>
    <row r="58" spans="3:4">
      <c r="C58" t="s">
        <v>409</v>
      </c>
      <c r="D58" t="s">
        <v>409</v>
      </c>
    </row>
    <row r="59" spans="3:4">
      <c r="C59" t="s">
        <v>409</v>
      </c>
      <c r="D59" t="s">
        <v>409</v>
      </c>
    </row>
    <row r="60" spans="3:4">
      <c r="C60" t="s">
        <v>409</v>
      </c>
      <c r="D60" t="s">
        <v>409</v>
      </c>
    </row>
    <row r="61" spans="3:4">
      <c r="C61" t="s">
        <v>409</v>
      </c>
      <c r="D61" t="s">
        <v>409</v>
      </c>
    </row>
    <row r="62" spans="3:4">
      <c r="C62" t="s">
        <v>409</v>
      </c>
      <c r="D62" t="s">
        <v>409</v>
      </c>
    </row>
    <row r="63" spans="3:4">
      <c r="C63" t="s">
        <v>409</v>
      </c>
      <c r="D63" t="s">
        <v>409</v>
      </c>
    </row>
    <row r="64" spans="3:4">
      <c r="C64" t="s">
        <v>409</v>
      </c>
      <c r="D64" t="s">
        <v>409</v>
      </c>
    </row>
    <row r="65" spans="3:4">
      <c r="C65" t="s">
        <v>409</v>
      </c>
      <c r="D65" t="s">
        <v>409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407</v>
      </c>
      <c r="D7" t="s">
        <v>407</v>
      </c>
    </row>
    <row r="8" spans="3:4">
      <c r="C8" t="s">
        <v>407</v>
      </c>
      <c r="D8" t="s">
        <v>407</v>
      </c>
    </row>
    <row r="9" spans="3:4">
      <c r="C9" t="s">
        <v>407</v>
      </c>
      <c r="D9" t="s">
        <v>407</v>
      </c>
    </row>
    <row r="10" spans="3:4">
      <c r="C10" t="s">
        <v>407</v>
      </c>
      <c r="D10" t="s">
        <v>407</v>
      </c>
    </row>
    <row r="11" spans="3:4">
      <c r="C11" t="s">
        <v>407</v>
      </c>
      <c r="D11" t="s">
        <v>407</v>
      </c>
    </row>
    <row r="12" spans="3:4">
      <c r="C12" t="s">
        <v>407</v>
      </c>
      <c r="D12" t="s">
        <v>407</v>
      </c>
    </row>
    <row r="13" spans="3:4">
      <c r="C13" t="s">
        <v>407</v>
      </c>
      <c r="D13" t="s">
        <v>407</v>
      </c>
    </row>
    <row r="14" spans="3:4">
      <c r="C14" t="s">
        <v>407</v>
      </c>
      <c r="D14" t="s">
        <v>407</v>
      </c>
    </row>
    <row r="15" spans="3:4">
      <c r="C15" t="s">
        <v>407</v>
      </c>
      <c r="D15" t="s">
        <v>407</v>
      </c>
    </row>
    <row r="16" spans="3:4">
      <c r="C16" t="s">
        <v>407</v>
      </c>
      <c r="D16" t="s">
        <v>407</v>
      </c>
    </row>
    <row r="17" spans="3:4">
      <c r="C17" t="s">
        <v>407</v>
      </c>
      <c r="D17" t="s">
        <v>407</v>
      </c>
    </row>
    <row r="18" spans="3:4">
      <c r="C18" t="s">
        <v>407</v>
      </c>
      <c r="D18" t="s">
        <v>407</v>
      </c>
    </row>
    <row r="19" spans="3:4">
      <c r="C19" t="s">
        <v>407</v>
      </c>
      <c r="D19" t="s">
        <v>407</v>
      </c>
    </row>
    <row r="20" spans="3:4">
      <c r="C20" t="s">
        <v>407</v>
      </c>
      <c r="D20" t="s">
        <v>407</v>
      </c>
    </row>
    <row r="21" spans="3:4">
      <c r="C21" t="s">
        <v>407</v>
      </c>
      <c r="D21" t="s">
        <v>407</v>
      </c>
    </row>
    <row r="22" spans="3:4">
      <c r="C22" t="s">
        <v>407</v>
      </c>
      <c r="D22" t="s">
        <v>407</v>
      </c>
    </row>
    <row r="23" spans="3:4">
      <c r="C23" t="s">
        <v>407</v>
      </c>
      <c r="D23" t="s">
        <v>407</v>
      </c>
    </row>
    <row r="24" spans="3:4">
      <c r="C24" t="s">
        <v>407</v>
      </c>
      <c r="D24" t="s">
        <v>407</v>
      </c>
    </row>
    <row r="25" spans="3:4">
      <c r="C25" t="s">
        <v>407</v>
      </c>
      <c r="D25" t="s">
        <v>407</v>
      </c>
    </row>
    <row r="26" spans="3:4">
      <c r="C26" t="s">
        <v>407</v>
      </c>
      <c r="D26" t="s">
        <v>407</v>
      </c>
    </row>
    <row r="27" spans="3:4">
      <c r="C27" t="s">
        <v>407</v>
      </c>
      <c r="D27" t="s">
        <v>407</v>
      </c>
    </row>
    <row r="28" spans="3:4">
      <c r="C28" t="s">
        <v>407</v>
      </c>
      <c r="D28" t="s">
        <v>407</v>
      </c>
    </row>
    <row r="29" spans="3:4">
      <c r="C29" t="s">
        <v>407</v>
      </c>
      <c r="D29" t="s">
        <v>407</v>
      </c>
    </row>
    <row r="30" spans="3:4">
      <c r="C30" t="s">
        <v>407</v>
      </c>
      <c r="D30" t="s">
        <v>407</v>
      </c>
    </row>
    <row r="31" spans="3:4">
      <c r="C31" t="s">
        <v>407</v>
      </c>
      <c r="D31" t="s">
        <v>407</v>
      </c>
    </row>
    <row r="32" spans="3:4">
      <c r="C32" t="s">
        <v>407</v>
      </c>
      <c r="D32" t="s">
        <v>407</v>
      </c>
    </row>
    <row r="33" spans="3:4">
      <c r="C33" t="s">
        <v>407</v>
      </c>
      <c r="D33" t="s">
        <v>407</v>
      </c>
    </row>
    <row r="34" spans="3:4">
      <c r="C34" t="s">
        <v>407</v>
      </c>
      <c r="D34" t="s">
        <v>407</v>
      </c>
    </row>
    <row r="35" spans="3:4">
      <c r="C35" t="s">
        <v>407</v>
      </c>
      <c r="D35" t="s">
        <v>407</v>
      </c>
    </row>
    <row r="36" spans="3:4">
      <c r="C36" t="s">
        <v>407</v>
      </c>
      <c r="D36" t="s">
        <v>407</v>
      </c>
    </row>
    <row r="37" spans="3:4">
      <c r="C37" t="s">
        <v>407</v>
      </c>
      <c r="D37" t="s">
        <v>407</v>
      </c>
    </row>
    <row r="38" spans="3:4">
      <c r="C38" t="s">
        <v>407</v>
      </c>
      <c r="D38" t="s">
        <v>407</v>
      </c>
    </row>
    <row r="39" spans="3:4">
      <c r="C39" t="s">
        <v>407</v>
      </c>
      <c r="D39" t="s">
        <v>407</v>
      </c>
    </row>
    <row r="40" spans="3:4">
      <c r="C40" t="s">
        <v>407</v>
      </c>
      <c r="D40" t="s">
        <v>407</v>
      </c>
    </row>
    <row r="41" spans="3:4">
      <c r="C41" t="s">
        <v>407</v>
      </c>
      <c r="D41" t="s">
        <v>407</v>
      </c>
    </row>
    <row r="42" spans="3:4">
      <c r="C42" t="s">
        <v>407</v>
      </c>
      <c r="D42" t="s">
        <v>407</v>
      </c>
    </row>
    <row r="43" spans="3:4">
      <c r="C43" t="s">
        <v>407</v>
      </c>
      <c r="D43" t="s">
        <v>407</v>
      </c>
    </row>
    <row r="44" spans="3:4">
      <c r="C44" t="s">
        <v>407</v>
      </c>
      <c r="D44" t="s">
        <v>407</v>
      </c>
    </row>
    <row r="45" spans="3:4">
      <c r="C45" t="s">
        <v>407</v>
      </c>
      <c r="D45" t="s">
        <v>407</v>
      </c>
    </row>
    <row r="46" spans="3:4">
      <c r="C46" t="s">
        <v>407</v>
      </c>
      <c r="D46" t="s">
        <v>407</v>
      </c>
    </row>
    <row r="47" spans="3:4">
      <c r="C47" t="s">
        <v>407</v>
      </c>
      <c r="D47" t="s">
        <v>407</v>
      </c>
    </row>
    <row r="48" spans="3:4">
      <c r="C48" t="s">
        <v>407</v>
      </c>
      <c r="D48" t="s">
        <v>407</v>
      </c>
    </row>
    <row r="49" spans="3:4">
      <c r="C49" t="s">
        <v>407</v>
      </c>
      <c r="D49" t="s">
        <v>407</v>
      </c>
    </row>
    <row r="50" spans="3:4">
      <c r="C50" t="s">
        <v>407</v>
      </c>
      <c r="D50" t="s">
        <v>407</v>
      </c>
    </row>
    <row r="51" spans="3:4">
      <c r="C51" t="s">
        <v>407</v>
      </c>
      <c r="D51" t="s">
        <v>407</v>
      </c>
    </row>
    <row r="52" spans="3:4">
      <c r="C52" t="s">
        <v>407</v>
      </c>
      <c r="D52" t="s">
        <v>407</v>
      </c>
    </row>
    <row r="53" spans="3:4">
      <c r="C53" t="s">
        <v>407</v>
      </c>
      <c r="D53" t="s">
        <v>407</v>
      </c>
    </row>
    <row r="54" spans="3:4">
      <c r="C54" t="s">
        <v>407</v>
      </c>
      <c r="D54" t="s">
        <v>407</v>
      </c>
    </row>
    <row r="55" spans="3:4">
      <c r="C55" t="s">
        <v>407</v>
      </c>
      <c r="D55" t="s">
        <v>407</v>
      </c>
    </row>
    <row r="56" spans="3:4">
      <c r="C56" t="s">
        <v>407</v>
      </c>
      <c r="D56" t="s">
        <v>407</v>
      </c>
    </row>
    <row r="57" spans="3:4">
      <c r="C57" t="s">
        <v>407</v>
      </c>
      <c r="D57" t="s">
        <v>407</v>
      </c>
    </row>
    <row r="58" spans="3:4">
      <c r="C58" t="s">
        <v>407</v>
      </c>
      <c r="D58" t="s">
        <v>407</v>
      </c>
    </row>
    <row r="59" spans="3:4">
      <c r="C59" t="s">
        <v>407</v>
      </c>
      <c r="D59" t="s">
        <v>407</v>
      </c>
    </row>
    <row r="60" spans="3:4">
      <c r="C60" t="s">
        <v>407</v>
      </c>
      <c r="D60" t="s">
        <v>407</v>
      </c>
    </row>
    <row r="61" spans="3:4">
      <c r="C61" t="s">
        <v>407</v>
      </c>
      <c r="D61" t="s">
        <v>407</v>
      </c>
    </row>
    <row r="62" spans="3:4">
      <c r="C62" t="s">
        <v>407</v>
      </c>
      <c r="D62" t="s">
        <v>407</v>
      </c>
    </row>
    <row r="63" spans="3:4">
      <c r="C63" t="s">
        <v>407</v>
      </c>
      <c r="D63" t="s">
        <v>407</v>
      </c>
    </row>
    <row r="64" spans="3:4">
      <c r="C64" t="s">
        <v>407</v>
      </c>
      <c r="D64" t="s">
        <v>407</v>
      </c>
    </row>
    <row r="65" spans="3:4">
      <c r="C65" t="s">
        <v>407</v>
      </c>
      <c r="D65" t="s">
        <v>407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261"/>
  <sheetViews>
    <sheetView topLeftCell="A25" workbookViewId="0">
      <selection activeCell="D47" sqref="D47"/>
    </sheetView>
  </sheetViews>
  <sheetFormatPr defaultColWidth="11.7109375" defaultRowHeight="15"/>
  <cols>
    <col min="1" max="1" width="57.14062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11.85546875" customWidth="1"/>
    <col min="8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220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6197105.1399999997</v>
      </c>
      <c r="D8" s="11">
        <f>D9+D11+D14+D15</f>
        <v>5826003.4100000001</v>
      </c>
    </row>
    <row r="9" spans="1:4" ht="30">
      <c r="A9" s="12" t="s">
        <v>90</v>
      </c>
      <c r="B9" s="13" t="s">
        <v>91</v>
      </c>
      <c r="C9" s="14">
        <f>5462864.6</f>
        <v>5462864.5999999996</v>
      </c>
      <c r="D9" s="15">
        <v>5362383.6500000004</v>
      </c>
    </row>
    <row r="10" spans="1:4">
      <c r="A10" s="16" t="s">
        <v>92</v>
      </c>
      <c r="B10" s="17" t="s">
        <v>93</v>
      </c>
      <c r="C10" s="18">
        <f>3554804.57757296</f>
        <v>3554804.5775729599</v>
      </c>
      <c r="D10" s="19">
        <f>_17h_E12</f>
        <v>3554804.5775729599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734240.54</v>
      </c>
      <c r="D15" s="15">
        <f>SUM(D16:D24)</f>
        <v>463619.76</v>
      </c>
    </row>
    <row r="16" spans="1:4">
      <c r="A16" s="22" t="s">
        <v>103</v>
      </c>
      <c r="B16" s="17" t="s">
        <v>104</v>
      </c>
      <c r="C16" s="111">
        <v>529115.16</v>
      </c>
      <c r="D16" s="113">
        <v>220510.98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149825.64</f>
        <v>149825.64000000001</v>
      </c>
      <c r="D18" s="19">
        <f>187818.01</f>
        <v>187818.01</v>
      </c>
    </row>
    <row r="19" spans="1:4">
      <c r="A19" s="22" t="s">
        <v>109</v>
      </c>
      <c r="B19" s="17" t="s">
        <v>110</v>
      </c>
      <c r="C19" s="18">
        <f>0</f>
        <v>0</v>
      </c>
      <c r="D19" s="19">
        <f>0</f>
        <v>0</v>
      </c>
    </row>
    <row r="20" spans="1:4">
      <c r="A20" s="22" t="s">
        <v>111</v>
      </c>
      <c r="B20" s="17" t="s">
        <v>112</v>
      </c>
      <c r="C20" s="18">
        <f>20666.74</f>
        <v>20666.740000000002</v>
      </c>
      <c r="D20" s="19">
        <f>20657.75</f>
        <v>20657.75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34633</f>
        <v>34633</v>
      </c>
      <c r="D23" s="19">
        <f>34633.02</f>
        <v>34633.019999999997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2449634.5499999998</v>
      </c>
      <c r="D25" s="15">
        <f>D26+D27+D30+D28+D29+D31</f>
        <v>1546894.89</v>
      </c>
    </row>
    <row r="26" spans="1:4" ht="21.75" customHeight="1">
      <c r="A26" s="24" t="s">
        <v>123</v>
      </c>
      <c r="B26" s="20" t="s">
        <v>124</v>
      </c>
      <c r="C26" s="18">
        <f>838980</f>
        <v>838980</v>
      </c>
      <c r="D26" s="19">
        <f>836882.55</f>
        <v>836882.55</v>
      </c>
    </row>
    <row r="27" spans="1:4" ht="45">
      <c r="A27" s="24" t="s">
        <v>125</v>
      </c>
      <c r="B27" s="20" t="s">
        <v>126</v>
      </c>
      <c r="C27" s="18">
        <f>102189.48</f>
        <v>102189.48</v>
      </c>
      <c r="D27" s="19">
        <f>102258.22</f>
        <v>102258.22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102036.48</f>
        <v>102036.48</v>
      </c>
      <c r="D29" s="19">
        <f>101144.43</f>
        <v>101144.43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1406428.5899999999</v>
      </c>
      <c r="D31" s="15">
        <f>SUM(D32:D39)</f>
        <v>506609.68999999994</v>
      </c>
    </row>
    <row r="32" spans="1:4" ht="17.25" customHeight="1">
      <c r="A32" s="24" t="s">
        <v>135</v>
      </c>
      <c r="B32" s="17" t="s">
        <v>136</v>
      </c>
      <c r="C32" s="18">
        <f>153157.06</f>
        <v>153157.06</v>
      </c>
      <c r="D32" s="19">
        <f>153157.12</f>
        <v>153157.12</v>
      </c>
    </row>
    <row r="33" spans="1:7">
      <c r="A33" s="24" t="s">
        <v>137</v>
      </c>
      <c r="B33" s="17" t="s">
        <v>138</v>
      </c>
      <c r="C33" s="18">
        <f>144381.02</f>
        <v>144381.01999999999</v>
      </c>
      <c r="D33" s="19">
        <f>126532.04</f>
        <v>126532.04</v>
      </c>
    </row>
    <row r="34" spans="1:7">
      <c r="A34" s="24" t="s">
        <v>139</v>
      </c>
      <c r="B34" s="17" t="s">
        <v>140</v>
      </c>
      <c r="C34" s="18">
        <f>223040.76</f>
        <v>223040.76</v>
      </c>
      <c r="D34" s="19">
        <f>226920.53</f>
        <v>226920.53</v>
      </c>
    </row>
    <row r="35" spans="1:7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7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7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7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7">
      <c r="A39" s="24" t="s">
        <v>149</v>
      </c>
      <c r="B39" s="17" t="s">
        <v>150</v>
      </c>
      <c r="C39" s="18">
        <v>885849.75</v>
      </c>
      <c r="D39" s="19">
        <v>0</v>
      </c>
      <c r="G39" s="104"/>
    </row>
    <row r="40" spans="1:7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7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7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7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7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7">
      <c r="A45" s="8" t="s">
        <v>161</v>
      </c>
      <c r="B45" s="9" t="s">
        <v>162</v>
      </c>
      <c r="C45" s="26">
        <f>SUM(C46:C48)</f>
        <v>75811.429999999993</v>
      </c>
      <c r="D45" s="27">
        <f>SUM(D46:D48)</f>
        <v>1155569.0899999999</v>
      </c>
    </row>
    <row r="46" spans="1:7">
      <c r="A46" s="21" t="s">
        <v>163</v>
      </c>
      <c r="B46" s="17" t="s">
        <v>164</v>
      </c>
      <c r="C46" s="18">
        <f>59130.24</f>
        <v>59130.239999999998</v>
      </c>
      <c r="D46" s="19">
        <f>65508.46</f>
        <v>65508.46</v>
      </c>
    </row>
    <row r="47" spans="1:7">
      <c r="A47" s="21" t="s">
        <v>149</v>
      </c>
      <c r="B47" s="17" t="s">
        <v>165</v>
      </c>
      <c r="C47" s="18">
        <f>0</f>
        <v>0</v>
      </c>
      <c r="D47" s="19">
        <v>1073379.44</v>
      </c>
    </row>
    <row r="48" spans="1:7">
      <c r="A48" s="21" t="s">
        <v>166</v>
      </c>
      <c r="B48" s="17" t="s">
        <v>167</v>
      </c>
      <c r="C48" s="18">
        <v>16681.189999999999</v>
      </c>
      <c r="D48" s="19">
        <v>16681.189999999999</v>
      </c>
    </row>
    <row r="49" spans="1:4">
      <c r="A49" s="8" t="s">
        <v>440</v>
      </c>
      <c r="B49" s="28" t="s">
        <v>168</v>
      </c>
      <c r="C49" s="29">
        <f>689746.08</f>
        <v>689746.08</v>
      </c>
      <c r="D49" s="30">
        <f>883829.81</f>
        <v>883829.81</v>
      </c>
    </row>
    <row r="50" spans="1:4">
      <c r="A50" s="8" t="s">
        <v>169</v>
      </c>
      <c r="B50" s="9" t="s">
        <v>170</v>
      </c>
      <c r="C50" s="14">
        <f>C8+C25+C40+C41+C42+C43+C44+C45+C49+C51+C52</f>
        <v>9412297.1999999993</v>
      </c>
      <c r="D50" s="15">
        <f>D8+D25+D40+D41+D42+D43+D44+D45+D49+D51+D52</f>
        <v>9412297.2000000011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5504007.96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5355688.08</f>
        <v>5355688.08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148319.88</f>
        <v>148319.88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2954598</f>
        <v>2954598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8458605.9600000009</v>
      </c>
      <c r="D59" s="27">
        <f>D54+D57+D58</f>
        <v>0</v>
      </c>
    </row>
    <row r="60" spans="1:4" ht="25.5">
      <c r="A60" s="33" t="s">
        <v>188</v>
      </c>
      <c r="B60" s="9"/>
      <c r="C60" s="34">
        <v>34938</v>
      </c>
      <c r="D60" s="35">
        <v>34938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405</v>
      </c>
      <c r="D7" t="s">
        <v>405</v>
      </c>
    </row>
    <row r="8" spans="3:4">
      <c r="C8" t="s">
        <v>405</v>
      </c>
      <c r="D8" t="s">
        <v>405</v>
      </c>
    </row>
    <row r="9" spans="3:4">
      <c r="C9" t="s">
        <v>405</v>
      </c>
      <c r="D9" t="s">
        <v>405</v>
      </c>
    </row>
    <row r="10" spans="3:4">
      <c r="C10" t="s">
        <v>405</v>
      </c>
      <c r="D10" t="s">
        <v>405</v>
      </c>
    </row>
    <row r="11" spans="3:4">
      <c r="C11" t="s">
        <v>405</v>
      </c>
      <c r="D11" t="s">
        <v>405</v>
      </c>
    </row>
    <row r="12" spans="3:4">
      <c r="C12" t="s">
        <v>405</v>
      </c>
      <c r="D12" t="s">
        <v>405</v>
      </c>
    </row>
    <row r="13" spans="3:4">
      <c r="C13" t="s">
        <v>405</v>
      </c>
      <c r="D13" t="s">
        <v>405</v>
      </c>
    </row>
    <row r="14" spans="3:4">
      <c r="C14" t="s">
        <v>405</v>
      </c>
      <c r="D14" t="s">
        <v>405</v>
      </c>
    </row>
    <row r="15" spans="3:4">
      <c r="C15" t="s">
        <v>405</v>
      </c>
      <c r="D15" t="s">
        <v>405</v>
      </c>
    </row>
    <row r="16" spans="3:4">
      <c r="C16" t="s">
        <v>405</v>
      </c>
      <c r="D16" t="s">
        <v>405</v>
      </c>
    </row>
    <row r="17" spans="3:4">
      <c r="C17" t="s">
        <v>405</v>
      </c>
      <c r="D17" t="s">
        <v>405</v>
      </c>
    </row>
    <row r="18" spans="3:4">
      <c r="C18" t="s">
        <v>405</v>
      </c>
      <c r="D18" t="s">
        <v>405</v>
      </c>
    </row>
    <row r="19" spans="3:4">
      <c r="C19" t="s">
        <v>405</v>
      </c>
      <c r="D19" t="s">
        <v>405</v>
      </c>
    </row>
    <row r="20" spans="3:4">
      <c r="C20" t="s">
        <v>405</v>
      </c>
      <c r="D20" t="s">
        <v>405</v>
      </c>
    </row>
    <row r="21" spans="3:4">
      <c r="C21" t="s">
        <v>405</v>
      </c>
      <c r="D21" t="s">
        <v>405</v>
      </c>
    </row>
    <row r="22" spans="3:4">
      <c r="C22" t="s">
        <v>405</v>
      </c>
      <c r="D22" t="s">
        <v>405</v>
      </c>
    </row>
    <row r="23" spans="3:4">
      <c r="C23" t="s">
        <v>405</v>
      </c>
      <c r="D23" t="s">
        <v>405</v>
      </c>
    </row>
    <row r="24" spans="3:4">
      <c r="C24" t="s">
        <v>405</v>
      </c>
      <c r="D24" t="s">
        <v>405</v>
      </c>
    </row>
    <row r="25" spans="3:4">
      <c r="C25" t="s">
        <v>405</v>
      </c>
      <c r="D25" t="s">
        <v>405</v>
      </c>
    </row>
    <row r="26" spans="3:4">
      <c r="C26" t="s">
        <v>405</v>
      </c>
      <c r="D26" t="s">
        <v>405</v>
      </c>
    </row>
    <row r="27" spans="3:4">
      <c r="C27" t="s">
        <v>405</v>
      </c>
      <c r="D27" t="s">
        <v>405</v>
      </c>
    </row>
    <row r="28" spans="3:4">
      <c r="C28" t="s">
        <v>405</v>
      </c>
      <c r="D28" t="s">
        <v>405</v>
      </c>
    </row>
    <row r="29" spans="3:4">
      <c r="C29" t="s">
        <v>405</v>
      </c>
      <c r="D29" t="s">
        <v>405</v>
      </c>
    </row>
    <row r="30" spans="3:4">
      <c r="C30" t="s">
        <v>405</v>
      </c>
      <c r="D30" t="s">
        <v>405</v>
      </c>
    </row>
    <row r="31" spans="3:4">
      <c r="C31" t="s">
        <v>405</v>
      </c>
      <c r="D31" t="s">
        <v>405</v>
      </c>
    </row>
    <row r="32" spans="3:4">
      <c r="C32" t="s">
        <v>405</v>
      </c>
      <c r="D32" t="s">
        <v>405</v>
      </c>
    </row>
    <row r="33" spans="3:4">
      <c r="C33" t="s">
        <v>405</v>
      </c>
      <c r="D33" t="s">
        <v>405</v>
      </c>
    </row>
    <row r="34" spans="3:4">
      <c r="C34" t="s">
        <v>405</v>
      </c>
      <c r="D34" t="s">
        <v>405</v>
      </c>
    </row>
    <row r="35" spans="3:4">
      <c r="C35" t="s">
        <v>405</v>
      </c>
      <c r="D35" t="s">
        <v>405</v>
      </c>
    </row>
    <row r="36" spans="3:4">
      <c r="C36" t="s">
        <v>405</v>
      </c>
      <c r="D36" t="s">
        <v>405</v>
      </c>
    </row>
    <row r="37" spans="3:4">
      <c r="C37" t="s">
        <v>405</v>
      </c>
      <c r="D37" t="s">
        <v>405</v>
      </c>
    </row>
    <row r="38" spans="3:4">
      <c r="C38" t="s">
        <v>405</v>
      </c>
      <c r="D38" t="s">
        <v>405</v>
      </c>
    </row>
    <row r="39" spans="3:4">
      <c r="C39" t="s">
        <v>405</v>
      </c>
      <c r="D39" t="s">
        <v>405</v>
      </c>
    </row>
    <row r="40" spans="3:4">
      <c r="C40" t="s">
        <v>405</v>
      </c>
      <c r="D40" t="s">
        <v>405</v>
      </c>
    </row>
    <row r="41" spans="3:4">
      <c r="C41" t="s">
        <v>405</v>
      </c>
      <c r="D41" t="s">
        <v>405</v>
      </c>
    </row>
    <row r="42" spans="3:4">
      <c r="C42" t="s">
        <v>405</v>
      </c>
      <c r="D42" t="s">
        <v>405</v>
      </c>
    </row>
    <row r="43" spans="3:4">
      <c r="C43" t="s">
        <v>405</v>
      </c>
      <c r="D43" t="s">
        <v>405</v>
      </c>
    </row>
    <row r="44" spans="3:4">
      <c r="C44" t="s">
        <v>405</v>
      </c>
      <c r="D44" t="s">
        <v>405</v>
      </c>
    </row>
    <row r="45" spans="3:4">
      <c r="C45" t="s">
        <v>405</v>
      </c>
      <c r="D45" t="s">
        <v>405</v>
      </c>
    </row>
    <row r="46" spans="3:4">
      <c r="C46" t="s">
        <v>405</v>
      </c>
      <c r="D46" t="s">
        <v>405</v>
      </c>
    </row>
    <row r="47" spans="3:4">
      <c r="C47" t="s">
        <v>405</v>
      </c>
      <c r="D47" t="s">
        <v>405</v>
      </c>
    </row>
    <row r="48" spans="3:4">
      <c r="C48" t="s">
        <v>405</v>
      </c>
      <c r="D48" t="s">
        <v>405</v>
      </c>
    </row>
    <row r="49" spans="3:4">
      <c r="C49" t="s">
        <v>405</v>
      </c>
      <c r="D49" t="s">
        <v>405</v>
      </c>
    </row>
    <row r="50" spans="3:4">
      <c r="C50" t="s">
        <v>405</v>
      </c>
      <c r="D50" t="s">
        <v>405</v>
      </c>
    </row>
    <row r="51" spans="3:4">
      <c r="C51" t="s">
        <v>405</v>
      </c>
      <c r="D51" t="s">
        <v>405</v>
      </c>
    </row>
    <row r="52" spans="3:4">
      <c r="C52" t="s">
        <v>405</v>
      </c>
      <c r="D52" t="s">
        <v>405</v>
      </c>
    </row>
    <row r="53" spans="3:4">
      <c r="C53" t="s">
        <v>405</v>
      </c>
      <c r="D53" t="s">
        <v>405</v>
      </c>
    </row>
    <row r="54" spans="3:4">
      <c r="C54" t="s">
        <v>405</v>
      </c>
      <c r="D54" t="s">
        <v>405</v>
      </c>
    </row>
    <row r="55" spans="3:4">
      <c r="C55" t="s">
        <v>405</v>
      </c>
      <c r="D55" t="s">
        <v>405</v>
      </c>
    </row>
    <row r="56" spans="3:4">
      <c r="C56" t="s">
        <v>405</v>
      </c>
      <c r="D56" t="s">
        <v>405</v>
      </c>
    </row>
    <row r="57" spans="3:4">
      <c r="C57" t="s">
        <v>405</v>
      </c>
      <c r="D57" t="s">
        <v>405</v>
      </c>
    </row>
    <row r="58" spans="3:4">
      <c r="C58" t="s">
        <v>405</v>
      </c>
      <c r="D58" t="s">
        <v>405</v>
      </c>
    </row>
    <row r="59" spans="3:4">
      <c r="C59" t="s">
        <v>405</v>
      </c>
      <c r="D59" t="s">
        <v>405</v>
      </c>
    </row>
    <row r="60" spans="3:4">
      <c r="C60" t="s">
        <v>405</v>
      </c>
      <c r="D60" t="s">
        <v>405</v>
      </c>
    </row>
    <row r="61" spans="3:4">
      <c r="C61" t="s">
        <v>405</v>
      </c>
      <c r="D61" t="s">
        <v>405</v>
      </c>
    </row>
    <row r="62" spans="3:4">
      <c r="C62" t="s">
        <v>405</v>
      </c>
      <c r="D62" t="s">
        <v>405</v>
      </c>
    </row>
    <row r="63" spans="3:4">
      <c r="C63" t="s">
        <v>405</v>
      </c>
      <c r="D63" t="s">
        <v>405</v>
      </c>
    </row>
    <row r="64" spans="3:4">
      <c r="C64" t="s">
        <v>405</v>
      </c>
      <c r="D64" t="s">
        <v>405</v>
      </c>
    </row>
    <row r="65" spans="3:4">
      <c r="C65" t="s">
        <v>405</v>
      </c>
      <c r="D65" t="s">
        <v>405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404</v>
      </c>
      <c r="D7" t="s">
        <v>404</v>
      </c>
    </row>
    <row r="8" spans="3:4">
      <c r="C8" t="s">
        <v>404</v>
      </c>
      <c r="D8" t="s">
        <v>404</v>
      </c>
    </row>
    <row r="9" spans="3:4">
      <c r="C9" t="s">
        <v>404</v>
      </c>
      <c r="D9" t="s">
        <v>404</v>
      </c>
    </row>
    <row r="10" spans="3:4">
      <c r="C10" t="s">
        <v>404</v>
      </c>
      <c r="D10" t="s">
        <v>404</v>
      </c>
    </row>
    <row r="11" spans="3:4">
      <c r="C11" t="s">
        <v>404</v>
      </c>
      <c r="D11" t="s">
        <v>404</v>
      </c>
    </row>
    <row r="12" spans="3:4">
      <c r="C12" t="s">
        <v>404</v>
      </c>
      <c r="D12" t="s">
        <v>404</v>
      </c>
    </row>
    <row r="13" spans="3:4">
      <c r="C13" t="s">
        <v>404</v>
      </c>
      <c r="D13" t="s">
        <v>404</v>
      </c>
    </row>
    <row r="14" spans="3:4">
      <c r="C14" t="s">
        <v>404</v>
      </c>
      <c r="D14" t="s">
        <v>404</v>
      </c>
    </row>
    <row r="15" spans="3:4">
      <c r="C15" t="s">
        <v>404</v>
      </c>
      <c r="D15" t="s">
        <v>404</v>
      </c>
    </row>
    <row r="16" spans="3:4">
      <c r="C16" t="s">
        <v>404</v>
      </c>
      <c r="D16" t="s">
        <v>404</v>
      </c>
    </row>
    <row r="17" spans="3:4">
      <c r="C17" t="s">
        <v>404</v>
      </c>
      <c r="D17" t="s">
        <v>404</v>
      </c>
    </row>
    <row r="18" spans="3:4">
      <c r="C18" t="s">
        <v>404</v>
      </c>
      <c r="D18" t="s">
        <v>404</v>
      </c>
    </row>
    <row r="19" spans="3:4">
      <c r="C19" t="s">
        <v>404</v>
      </c>
      <c r="D19" t="s">
        <v>404</v>
      </c>
    </row>
    <row r="20" spans="3:4">
      <c r="C20" t="s">
        <v>404</v>
      </c>
      <c r="D20" t="s">
        <v>404</v>
      </c>
    </row>
    <row r="21" spans="3:4">
      <c r="C21" t="s">
        <v>404</v>
      </c>
      <c r="D21" t="s">
        <v>404</v>
      </c>
    </row>
    <row r="22" spans="3:4">
      <c r="C22" t="s">
        <v>404</v>
      </c>
      <c r="D22" t="s">
        <v>404</v>
      </c>
    </row>
    <row r="23" spans="3:4">
      <c r="C23" t="s">
        <v>404</v>
      </c>
      <c r="D23" t="s">
        <v>404</v>
      </c>
    </row>
    <row r="24" spans="3:4">
      <c r="C24" t="s">
        <v>404</v>
      </c>
      <c r="D24" t="s">
        <v>404</v>
      </c>
    </row>
    <row r="25" spans="3:4">
      <c r="C25" t="s">
        <v>404</v>
      </c>
      <c r="D25" t="s">
        <v>404</v>
      </c>
    </row>
    <row r="26" spans="3:4">
      <c r="C26" t="s">
        <v>404</v>
      </c>
      <c r="D26" t="s">
        <v>404</v>
      </c>
    </row>
    <row r="27" spans="3:4">
      <c r="C27" t="s">
        <v>404</v>
      </c>
      <c r="D27" t="s">
        <v>404</v>
      </c>
    </row>
    <row r="28" spans="3:4">
      <c r="C28" t="s">
        <v>404</v>
      </c>
      <c r="D28" t="s">
        <v>404</v>
      </c>
    </row>
    <row r="29" spans="3:4">
      <c r="C29" t="s">
        <v>404</v>
      </c>
      <c r="D29" t="s">
        <v>404</v>
      </c>
    </row>
    <row r="30" spans="3:4">
      <c r="C30" t="s">
        <v>404</v>
      </c>
      <c r="D30" t="s">
        <v>404</v>
      </c>
    </row>
    <row r="31" spans="3:4">
      <c r="C31" t="s">
        <v>404</v>
      </c>
      <c r="D31" t="s">
        <v>404</v>
      </c>
    </row>
    <row r="32" spans="3:4">
      <c r="C32" t="s">
        <v>404</v>
      </c>
      <c r="D32" t="s">
        <v>404</v>
      </c>
    </row>
    <row r="33" spans="3:4">
      <c r="C33" t="s">
        <v>404</v>
      </c>
      <c r="D33" t="s">
        <v>404</v>
      </c>
    </row>
    <row r="34" spans="3:4">
      <c r="C34" t="s">
        <v>404</v>
      </c>
      <c r="D34" t="s">
        <v>404</v>
      </c>
    </row>
    <row r="35" spans="3:4">
      <c r="C35" t="s">
        <v>404</v>
      </c>
      <c r="D35" t="s">
        <v>404</v>
      </c>
    </row>
    <row r="36" spans="3:4">
      <c r="C36" t="s">
        <v>404</v>
      </c>
      <c r="D36" t="s">
        <v>404</v>
      </c>
    </row>
    <row r="37" spans="3:4">
      <c r="C37" t="s">
        <v>404</v>
      </c>
      <c r="D37" t="s">
        <v>404</v>
      </c>
    </row>
    <row r="38" spans="3:4">
      <c r="C38" t="s">
        <v>404</v>
      </c>
      <c r="D38" t="s">
        <v>404</v>
      </c>
    </row>
    <row r="39" spans="3:4">
      <c r="C39" t="s">
        <v>404</v>
      </c>
      <c r="D39" t="s">
        <v>404</v>
      </c>
    </row>
    <row r="40" spans="3:4">
      <c r="C40" t="s">
        <v>404</v>
      </c>
      <c r="D40" t="s">
        <v>404</v>
      </c>
    </row>
    <row r="41" spans="3:4">
      <c r="C41" t="s">
        <v>404</v>
      </c>
      <c r="D41" t="s">
        <v>404</v>
      </c>
    </row>
    <row r="42" spans="3:4">
      <c r="C42" t="s">
        <v>404</v>
      </c>
      <c r="D42" t="s">
        <v>404</v>
      </c>
    </row>
    <row r="43" spans="3:4">
      <c r="C43" t="s">
        <v>404</v>
      </c>
      <c r="D43" t="s">
        <v>404</v>
      </c>
    </row>
    <row r="44" spans="3:4">
      <c r="C44" t="s">
        <v>404</v>
      </c>
      <c r="D44" t="s">
        <v>404</v>
      </c>
    </row>
    <row r="45" spans="3:4">
      <c r="C45" t="s">
        <v>404</v>
      </c>
      <c r="D45" t="s">
        <v>404</v>
      </c>
    </row>
    <row r="46" spans="3:4">
      <c r="C46" t="s">
        <v>404</v>
      </c>
      <c r="D46" t="s">
        <v>404</v>
      </c>
    </row>
    <row r="47" spans="3:4">
      <c r="C47" t="s">
        <v>404</v>
      </c>
      <c r="D47" t="s">
        <v>404</v>
      </c>
    </row>
    <row r="48" spans="3:4">
      <c r="C48" t="s">
        <v>404</v>
      </c>
      <c r="D48" t="s">
        <v>404</v>
      </c>
    </row>
    <row r="49" spans="3:4">
      <c r="C49" t="s">
        <v>404</v>
      </c>
      <c r="D49" t="s">
        <v>404</v>
      </c>
    </row>
    <row r="50" spans="3:4">
      <c r="C50" t="s">
        <v>404</v>
      </c>
      <c r="D50" t="s">
        <v>404</v>
      </c>
    </row>
    <row r="51" spans="3:4">
      <c r="C51" t="s">
        <v>404</v>
      </c>
      <c r="D51" t="s">
        <v>404</v>
      </c>
    </row>
    <row r="52" spans="3:4">
      <c r="C52" t="s">
        <v>404</v>
      </c>
      <c r="D52" t="s">
        <v>404</v>
      </c>
    </row>
    <row r="53" spans="3:4">
      <c r="C53" t="s">
        <v>404</v>
      </c>
      <c r="D53" t="s">
        <v>404</v>
      </c>
    </row>
    <row r="54" spans="3:4">
      <c r="C54" t="s">
        <v>404</v>
      </c>
      <c r="D54" t="s">
        <v>404</v>
      </c>
    </row>
    <row r="55" spans="3:4">
      <c r="C55" t="s">
        <v>404</v>
      </c>
      <c r="D55" t="s">
        <v>404</v>
      </c>
    </row>
    <row r="56" spans="3:4">
      <c r="C56" t="s">
        <v>404</v>
      </c>
      <c r="D56" t="s">
        <v>404</v>
      </c>
    </row>
    <row r="57" spans="3:4">
      <c r="C57" t="s">
        <v>404</v>
      </c>
      <c r="D57" t="s">
        <v>404</v>
      </c>
    </row>
    <row r="58" spans="3:4">
      <c r="C58" t="s">
        <v>404</v>
      </c>
      <c r="D58" t="s">
        <v>404</v>
      </c>
    </row>
    <row r="59" spans="3:4">
      <c r="C59" t="s">
        <v>404</v>
      </c>
      <c r="D59" t="s">
        <v>404</v>
      </c>
    </row>
    <row r="60" spans="3:4">
      <c r="C60" t="s">
        <v>404</v>
      </c>
      <c r="D60" t="s">
        <v>404</v>
      </c>
    </row>
    <row r="61" spans="3:4">
      <c r="C61" t="s">
        <v>404</v>
      </c>
      <c r="D61" t="s">
        <v>404</v>
      </c>
    </row>
    <row r="62" spans="3:4">
      <c r="C62" t="s">
        <v>404</v>
      </c>
      <c r="D62" t="s">
        <v>404</v>
      </c>
    </row>
    <row r="63" spans="3:4">
      <c r="C63" t="s">
        <v>404</v>
      </c>
      <c r="D63" t="s">
        <v>404</v>
      </c>
    </row>
    <row r="64" spans="3:4">
      <c r="C64" t="s">
        <v>404</v>
      </c>
      <c r="D64" t="s">
        <v>404</v>
      </c>
    </row>
    <row r="65" spans="3:4">
      <c r="C65" t="s">
        <v>404</v>
      </c>
      <c r="D65" t="s">
        <v>404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402</v>
      </c>
      <c r="D7" t="s">
        <v>402</v>
      </c>
    </row>
    <row r="8" spans="3:4">
      <c r="C8" t="s">
        <v>402</v>
      </c>
      <c r="D8" t="s">
        <v>402</v>
      </c>
    </row>
    <row r="9" spans="3:4">
      <c r="C9" t="s">
        <v>402</v>
      </c>
      <c r="D9" t="s">
        <v>402</v>
      </c>
    </row>
    <row r="10" spans="3:4">
      <c r="C10" t="s">
        <v>402</v>
      </c>
      <c r="D10" t="s">
        <v>402</v>
      </c>
    </row>
    <row r="11" spans="3:4">
      <c r="C11" t="s">
        <v>402</v>
      </c>
      <c r="D11" t="s">
        <v>402</v>
      </c>
    </row>
    <row r="12" spans="3:4">
      <c r="C12" t="s">
        <v>402</v>
      </c>
      <c r="D12" t="s">
        <v>402</v>
      </c>
    </row>
    <row r="13" spans="3:4">
      <c r="C13" t="s">
        <v>402</v>
      </c>
      <c r="D13" t="s">
        <v>402</v>
      </c>
    </row>
    <row r="14" spans="3:4">
      <c r="C14" t="s">
        <v>402</v>
      </c>
      <c r="D14" t="s">
        <v>402</v>
      </c>
    </row>
    <row r="15" spans="3:4">
      <c r="C15" t="s">
        <v>402</v>
      </c>
      <c r="D15" t="s">
        <v>402</v>
      </c>
    </row>
    <row r="16" spans="3:4">
      <c r="C16" t="s">
        <v>402</v>
      </c>
      <c r="D16" t="s">
        <v>402</v>
      </c>
    </row>
    <row r="17" spans="3:4">
      <c r="C17" t="s">
        <v>402</v>
      </c>
      <c r="D17" t="s">
        <v>402</v>
      </c>
    </row>
    <row r="18" spans="3:4">
      <c r="C18" t="s">
        <v>402</v>
      </c>
      <c r="D18" t="s">
        <v>402</v>
      </c>
    </row>
    <row r="19" spans="3:4">
      <c r="C19" t="s">
        <v>402</v>
      </c>
      <c r="D19" t="s">
        <v>402</v>
      </c>
    </row>
    <row r="20" spans="3:4">
      <c r="C20" t="s">
        <v>402</v>
      </c>
      <c r="D20" t="s">
        <v>402</v>
      </c>
    </row>
    <row r="21" spans="3:4">
      <c r="C21" t="s">
        <v>402</v>
      </c>
      <c r="D21" t="s">
        <v>402</v>
      </c>
    </row>
    <row r="22" spans="3:4">
      <c r="C22" t="s">
        <v>402</v>
      </c>
      <c r="D22" t="s">
        <v>402</v>
      </c>
    </row>
    <row r="23" spans="3:4">
      <c r="C23" t="s">
        <v>402</v>
      </c>
      <c r="D23" t="s">
        <v>402</v>
      </c>
    </row>
    <row r="24" spans="3:4">
      <c r="C24" t="s">
        <v>402</v>
      </c>
      <c r="D24" t="s">
        <v>402</v>
      </c>
    </row>
    <row r="25" spans="3:4">
      <c r="C25" t="s">
        <v>402</v>
      </c>
      <c r="D25" t="s">
        <v>402</v>
      </c>
    </row>
    <row r="26" spans="3:4">
      <c r="C26" t="s">
        <v>402</v>
      </c>
      <c r="D26" t="s">
        <v>402</v>
      </c>
    </row>
    <row r="27" spans="3:4">
      <c r="C27" t="s">
        <v>402</v>
      </c>
      <c r="D27" t="s">
        <v>402</v>
      </c>
    </row>
    <row r="28" spans="3:4">
      <c r="C28" t="s">
        <v>402</v>
      </c>
      <c r="D28" t="s">
        <v>402</v>
      </c>
    </row>
    <row r="29" spans="3:4">
      <c r="C29" t="s">
        <v>402</v>
      </c>
      <c r="D29" t="s">
        <v>402</v>
      </c>
    </row>
    <row r="30" spans="3:4">
      <c r="C30" t="s">
        <v>402</v>
      </c>
      <c r="D30" t="s">
        <v>402</v>
      </c>
    </row>
    <row r="31" spans="3:4">
      <c r="C31" t="s">
        <v>402</v>
      </c>
      <c r="D31" t="s">
        <v>402</v>
      </c>
    </row>
    <row r="32" spans="3:4">
      <c r="C32" t="s">
        <v>402</v>
      </c>
      <c r="D32" t="s">
        <v>402</v>
      </c>
    </row>
    <row r="33" spans="3:4">
      <c r="C33" t="s">
        <v>402</v>
      </c>
      <c r="D33" t="s">
        <v>402</v>
      </c>
    </row>
    <row r="34" spans="3:4">
      <c r="C34" t="s">
        <v>402</v>
      </c>
      <c r="D34" t="s">
        <v>402</v>
      </c>
    </row>
    <row r="35" spans="3:4">
      <c r="C35" t="s">
        <v>402</v>
      </c>
      <c r="D35" t="s">
        <v>402</v>
      </c>
    </row>
    <row r="36" spans="3:4">
      <c r="C36" t="s">
        <v>402</v>
      </c>
      <c r="D36" t="s">
        <v>402</v>
      </c>
    </row>
    <row r="37" spans="3:4">
      <c r="C37" t="s">
        <v>402</v>
      </c>
      <c r="D37" t="s">
        <v>402</v>
      </c>
    </row>
    <row r="38" spans="3:4">
      <c r="C38" t="s">
        <v>402</v>
      </c>
      <c r="D38" t="s">
        <v>402</v>
      </c>
    </row>
    <row r="39" spans="3:4">
      <c r="C39" t="s">
        <v>402</v>
      </c>
      <c r="D39" t="s">
        <v>402</v>
      </c>
    </row>
    <row r="40" spans="3:4">
      <c r="C40" t="s">
        <v>402</v>
      </c>
      <c r="D40" t="s">
        <v>402</v>
      </c>
    </row>
    <row r="41" spans="3:4">
      <c r="C41" t="s">
        <v>402</v>
      </c>
      <c r="D41" t="s">
        <v>402</v>
      </c>
    </row>
    <row r="42" spans="3:4">
      <c r="C42" t="s">
        <v>402</v>
      </c>
      <c r="D42" t="s">
        <v>402</v>
      </c>
    </row>
    <row r="43" spans="3:4">
      <c r="C43" t="s">
        <v>402</v>
      </c>
      <c r="D43" t="s">
        <v>402</v>
      </c>
    </row>
    <row r="44" spans="3:4">
      <c r="C44" t="s">
        <v>402</v>
      </c>
      <c r="D44" t="s">
        <v>402</v>
      </c>
    </row>
    <row r="45" spans="3:4">
      <c r="C45" t="s">
        <v>402</v>
      </c>
      <c r="D45" t="s">
        <v>402</v>
      </c>
    </row>
    <row r="46" spans="3:4">
      <c r="C46" t="s">
        <v>402</v>
      </c>
      <c r="D46" t="s">
        <v>402</v>
      </c>
    </row>
    <row r="47" spans="3:4">
      <c r="C47" t="s">
        <v>402</v>
      </c>
      <c r="D47" t="s">
        <v>402</v>
      </c>
    </row>
    <row r="48" spans="3:4">
      <c r="C48" t="s">
        <v>402</v>
      </c>
      <c r="D48" t="s">
        <v>402</v>
      </c>
    </row>
    <row r="49" spans="3:4">
      <c r="C49" t="s">
        <v>402</v>
      </c>
      <c r="D49" t="s">
        <v>402</v>
      </c>
    </row>
    <row r="50" spans="3:4">
      <c r="C50" t="s">
        <v>402</v>
      </c>
      <c r="D50" t="s">
        <v>402</v>
      </c>
    </row>
    <row r="51" spans="3:4">
      <c r="C51" t="s">
        <v>402</v>
      </c>
      <c r="D51" t="s">
        <v>402</v>
      </c>
    </row>
    <row r="52" spans="3:4">
      <c r="C52" t="s">
        <v>402</v>
      </c>
      <c r="D52" t="s">
        <v>402</v>
      </c>
    </row>
    <row r="53" spans="3:4">
      <c r="C53" t="s">
        <v>402</v>
      </c>
      <c r="D53" t="s">
        <v>402</v>
      </c>
    </row>
    <row r="54" spans="3:4">
      <c r="C54" t="s">
        <v>402</v>
      </c>
      <c r="D54" t="s">
        <v>402</v>
      </c>
    </row>
    <row r="55" spans="3:4">
      <c r="C55" t="s">
        <v>402</v>
      </c>
      <c r="D55" t="s">
        <v>402</v>
      </c>
    </row>
    <row r="56" spans="3:4">
      <c r="C56" t="s">
        <v>402</v>
      </c>
      <c r="D56" t="s">
        <v>402</v>
      </c>
    </row>
    <row r="57" spans="3:4">
      <c r="C57" t="s">
        <v>402</v>
      </c>
      <c r="D57" t="s">
        <v>402</v>
      </c>
    </row>
    <row r="58" spans="3:4">
      <c r="C58" t="s">
        <v>402</v>
      </c>
      <c r="D58" t="s">
        <v>402</v>
      </c>
    </row>
    <row r="59" spans="3:4">
      <c r="C59" t="s">
        <v>402</v>
      </c>
      <c r="D59" t="s">
        <v>402</v>
      </c>
    </row>
    <row r="60" spans="3:4">
      <c r="C60" t="s">
        <v>402</v>
      </c>
      <c r="D60" t="s">
        <v>402</v>
      </c>
    </row>
    <row r="61" spans="3:4">
      <c r="C61" t="s">
        <v>402</v>
      </c>
      <c r="D61" t="s">
        <v>402</v>
      </c>
    </row>
    <row r="62" spans="3:4">
      <c r="C62" t="s">
        <v>402</v>
      </c>
      <c r="D62" t="s">
        <v>402</v>
      </c>
    </row>
    <row r="63" spans="3:4">
      <c r="C63" t="s">
        <v>402</v>
      </c>
      <c r="D63" t="s">
        <v>402</v>
      </c>
    </row>
    <row r="64" spans="3:4">
      <c r="C64" t="s">
        <v>402</v>
      </c>
      <c r="D64" t="s">
        <v>402</v>
      </c>
    </row>
    <row r="65" spans="3:4">
      <c r="C65" t="s">
        <v>402</v>
      </c>
      <c r="D65" t="s">
        <v>402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401</v>
      </c>
      <c r="D7" t="s">
        <v>401</v>
      </c>
    </row>
    <row r="8" spans="3:4">
      <c r="C8" t="s">
        <v>401</v>
      </c>
      <c r="D8" t="s">
        <v>401</v>
      </c>
    </row>
    <row r="9" spans="3:4">
      <c r="C9" t="s">
        <v>401</v>
      </c>
      <c r="D9" t="s">
        <v>401</v>
      </c>
    </row>
    <row r="10" spans="3:4">
      <c r="C10" t="s">
        <v>401</v>
      </c>
      <c r="D10" t="s">
        <v>401</v>
      </c>
    </row>
    <row r="11" spans="3:4">
      <c r="C11" t="s">
        <v>401</v>
      </c>
      <c r="D11" t="s">
        <v>401</v>
      </c>
    </row>
    <row r="12" spans="3:4">
      <c r="C12" t="s">
        <v>401</v>
      </c>
      <c r="D12" t="s">
        <v>401</v>
      </c>
    </row>
    <row r="13" spans="3:4">
      <c r="C13" t="s">
        <v>401</v>
      </c>
      <c r="D13" t="s">
        <v>401</v>
      </c>
    </row>
    <row r="14" spans="3:4">
      <c r="C14" t="s">
        <v>401</v>
      </c>
      <c r="D14" t="s">
        <v>401</v>
      </c>
    </row>
    <row r="15" spans="3:4">
      <c r="C15" t="s">
        <v>401</v>
      </c>
      <c r="D15" t="s">
        <v>401</v>
      </c>
    </row>
    <row r="16" spans="3:4">
      <c r="C16" t="s">
        <v>401</v>
      </c>
      <c r="D16" t="s">
        <v>401</v>
      </c>
    </row>
    <row r="17" spans="3:4">
      <c r="C17" t="s">
        <v>401</v>
      </c>
      <c r="D17" t="s">
        <v>401</v>
      </c>
    </row>
    <row r="18" spans="3:4">
      <c r="C18" t="s">
        <v>401</v>
      </c>
      <c r="D18" t="s">
        <v>401</v>
      </c>
    </row>
    <row r="19" spans="3:4">
      <c r="C19" t="s">
        <v>401</v>
      </c>
      <c r="D19" t="s">
        <v>401</v>
      </c>
    </row>
    <row r="20" spans="3:4">
      <c r="C20" t="s">
        <v>401</v>
      </c>
      <c r="D20" t="s">
        <v>401</v>
      </c>
    </row>
    <row r="21" spans="3:4">
      <c r="C21" t="s">
        <v>401</v>
      </c>
      <c r="D21" t="s">
        <v>401</v>
      </c>
    </row>
    <row r="22" spans="3:4">
      <c r="C22" t="s">
        <v>401</v>
      </c>
      <c r="D22" t="s">
        <v>401</v>
      </c>
    </row>
    <row r="23" spans="3:4">
      <c r="C23" t="s">
        <v>401</v>
      </c>
      <c r="D23" t="s">
        <v>401</v>
      </c>
    </row>
    <row r="24" spans="3:4">
      <c r="C24" t="s">
        <v>401</v>
      </c>
      <c r="D24" t="s">
        <v>401</v>
      </c>
    </row>
    <row r="25" spans="3:4">
      <c r="C25" t="s">
        <v>401</v>
      </c>
      <c r="D25" t="s">
        <v>401</v>
      </c>
    </row>
    <row r="26" spans="3:4">
      <c r="C26" t="s">
        <v>401</v>
      </c>
      <c r="D26" t="s">
        <v>401</v>
      </c>
    </row>
    <row r="27" spans="3:4">
      <c r="C27" t="s">
        <v>401</v>
      </c>
      <c r="D27" t="s">
        <v>401</v>
      </c>
    </row>
    <row r="28" spans="3:4">
      <c r="C28" t="s">
        <v>401</v>
      </c>
      <c r="D28" t="s">
        <v>401</v>
      </c>
    </row>
    <row r="29" spans="3:4">
      <c r="C29" t="s">
        <v>401</v>
      </c>
      <c r="D29" t="s">
        <v>401</v>
      </c>
    </row>
    <row r="30" spans="3:4">
      <c r="C30" t="s">
        <v>401</v>
      </c>
      <c r="D30" t="s">
        <v>401</v>
      </c>
    </row>
    <row r="31" spans="3:4">
      <c r="C31" t="s">
        <v>401</v>
      </c>
      <c r="D31" t="s">
        <v>401</v>
      </c>
    </row>
    <row r="32" spans="3:4">
      <c r="C32" t="s">
        <v>401</v>
      </c>
      <c r="D32" t="s">
        <v>401</v>
      </c>
    </row>
    <row r="33" spans="3:4">
      <c r="C33" t="s">
        <v>401</v>
      </c>
      <c r="D33" t="s">
        <v>401</v>
      </c>
    </row>
    <row r="34" spans="3:4">
      <c r="C34" t="s">
        <v>401</v>
      </c>
      <c r="D34" t="s">
        <v>401</v>
      </c>
    </row>
    <row r="35" spans="3:4">
      <c r="C35" t="s">
        <v>401</v>
      </c>
      <c r="D35" t="s">
        <v>401</v>
      </c>
    </row>
    <row r="36" spans="3:4">
      <c r="C36" t="s">
        <v>401</v>
      </c>
      <c r="D36" t="s">
        <v>401</v>
      </c>
    </row>
    <row r="37" spans="3:4">
      <c r="C37" t="s">
        <v>401</v>
      </c>
      <c r="D37" t="s">
        <v>401</v>
      </c>
    </row>
    <row r="38" spans="3:4">
      <c r="C38" t="s">
        <v>401</v>
      </c>
      <c r="D38" t="s">
        <v>401</v>
      </c>
    </row>
    <row r="39" spans="3:4">
      <c r="C39" t="s">
        <v>401</v>
      </c>
      <c r="D39" t="s">
        <v>401</v>
      </c>
    </row>
    <row r="40" spans="3:4">
      <c r="C40" t="s">
        <v>401</v>
      </c>
      <c r="D40" t="s">
        <v>401</v>
      </c>
    </row>
    <row r="41" spans="3:4">
      <c r="C41" t="s">
        <v>401</v>
      </c>
      <c r="D41" t="s">
        <v>401</v>
      </c>
    </row>
    <row r="42" spans="3:4">
      <c r="C42" t="s">
        <v>401</v>
      </c>
      <c r="D42" t="s">
        <v>401</v>
      </c>
    </row>
    <row r="43" spans="3:4">
      <c r="C43" t="s">
        <v>401</v>
      </c>
      <c r="D43" t="s">
        <v>401</v>
      </c>
    </row>
    <row r="44" spans="3:4">
      <c r="C44" t="s">
        <v>401</v>
      </c>
      <c r="D44" t="s">
        <v>401</v>
      </c>
    </row>
    <row r="45" spans="3:4">
      <c r="C45" t="s">
        <v>401</v>
      </c>
      <c r="D45" t="s">
        <v>401</v>
      </c>
    </row>
    <row r="46" spans="3:4">
      <c r="C46" t="s">
        <v>401</v>
      </c>
      <c r="D46" t="s">
        <v>401</v>
      </c>
    </row>
    <row r="47" spans="3:4">
      <c r="C47" t="s">
        <v>401</v>
      </c>
      <c r="D47" t="s">
        <v>401</v>
      </c>
    </row>
    <row r="48" spans="3:4">
      <c r="C48" t="s">
        <v>401</v>
      </c>
      <c r="D48" t="s">
        <v>401</v>
      </c>
    </row>
    <row r="49" spans="3:4">
      <c r="C49" t="s">
        <v>401</v>
      </c>
      <c r="D49" t="s">
        <v>401</v>
      </c>
    </row>
    <row r="50" spans="3:4">
      <c r="C50" t="s">
        <v>401</v>
      </c>
      <c r="D50" t="s">
        <v>401</v>
      </c>
    </row>
    <row r="51" spans="3:4">
      <c r="C51" t="s">
        <v>401</v>
      </c>
      <c r="D51" t="s">
        <v>401</v>
      </c>
    </row>
    <row r="52" spans="3:4">
      <c r="C52" t="s">
        <v>401</v>
      </c>
      <c r="D52" t="s">
        <v>401</v>
      </c>
    </row>
    <row r="53" spans="3:4">
      <c r="C53" t="s">
        <v>401</v>
      </c>
      <c r="D53" t="s">
        <v>401</v>
      </c>
    </row>
    <row r="54" spans="3:4">
      <c r="C54" t="s">
        <v>401</v>
      </c>
      <c r="D54" t="s">
        <v>401</v>
      </c>
    </row>
    <row r="55" spans="3:4">
      <c r="C55" t="s">
        <v>401</v>
      </c>
      <c r="D55" t="s">
        <v>401</v>
      </c>
    </row>
    <row r="56" spans="3:4">
      <c r="C56" t="s">
        <v>401</v>
      </c>
      <c r="D56" t="s">
        <v>401</v>
      </c>
    </row>
    <row r="57" spans="3:4">
      <c r="C57" t="s">
        <v>401</v>
      </c>
      <c r="D57" t="s">
        <v>401</v>
      </c>
    </row>
    <row r="58" spans="3:4">
      <c r="C58" t="s">
        <v>401</v>
      </c>
      <c r="D58" t="s">
        <v>401</v>
      </c>
    </row>
    <row r="59" spans="3:4">
      <c r="C59" t="s">
        <v>401</v>
      </c>
      <c r="D59" t="s">
        <v>401</v>
      </c>
    </row>
    <row r="60" spans="3:4">
      <c r="C60" t="s">
        <v>401</v>
      </c>
      <c r="D60" t="s">
        <v>401</v>
      </c>
    </row>
    <row r="61" spans="3:4">
      <c r="C61" t="s">
        <v>401</v>
      </c>
      <c r="D61" t="s">
        <v>401</v>
      </c>
    </row>
    <row r="62" spans="3:4">
      <c r="C62" t="s">
        <v>401</v>
      </c>
      <c r="D62" t="s">
        <v>401</v>
      </c>
    </row>
    <row r="63" spans="3:4">
      <c r="C63" t="s">
        <v>401</v>
      </c>
      <c r="D63" t="s">
        <v>401</v>
      </c>
    </row>
    <row r="64" spans="3:4">
      <c r="C64" t="s">
        <v>401</v>
      </c>
      <c r="D64" t="s">
        <v>401</v>
      </c>
    </row>
    <row r="65" spans="3:4">
      <c r="C65" t="s">
        <v>401</v>
      </c>
      <c r="D65" t="s">
        <v>401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399</v>
      </c>
      <c r="D7" t="s">
        <v>399</v>
      </c>
    </row>
    <row r="8" spans="3:4">
      <c r="C8" t="s">
        <v>399</v>
      </c>
      <c r="D8" t="s">
        <v>399</v>
      </c>
    </row>
    <row r="9" spans="3:4">
      <c r="C9" t="s">
        <v>399</v>
      </c>
      <c r="D9" t="s">
        <v>399</v>
      </c>
    </row>
    <row r="10" spans="3:4">
      <c r="C10" t="s">
        <v>399</v>
      </c>
      <c r="D10" t="s">
        <v>399</v>
      </c>
    </row>
    <row r="11" spans="3:4">
      <c r="C11" t="s">
        <v>399</v>
      </c>
      <c r="D11" t="s">
        <v>399</v>
      </c>
    </row>
    <row r="12" spans="3:4">
      <c r="C12" t="s">
        <v>399</v>
      </c>
      <c r="D12" t="s">
        <v>399</v>
      </c>
    </row>
    <row r="13" spans="3:4">
      <c r="C13" t="s">
        <v>399</v>
      </c>
      <c r="D13" t="s">
        <v>399</v>
      </c>
    </row>
    <row r="14" spans="3:4">
      <c r="C14" t="s">
        <v>399</v>
      </c>
      <c r="D14" t="s">
        <v>399</v>
      </c>
    </row>
    <row r="15" spans="3:4">
      <c r="C15" t="s">
        <v>399</v>
      </c>
      <c r="D15" t="s">
        <v>399</v>
      </c>
    </row>
    <row r="16" spans="3:4">
      <c r="C16" t="s">
        <v>399</v>
      </c>
      <c r="D16" t="s">
        <v>399</v>
      </c>
    </row>
    <row r="17" spans="3:4">
      <c r="C17" t="s">
        <v>399</v>
      </c>
      <c r="D17" t="s">
        <v>399</v>
      </c>
    </row>
    <row r="18" spans="3:4">
      <c r="C18" t="s">
        <v>399</v>
      </c>
      <c r="D18" t="s">
        <v>399</v>
      </c>
    </row>
    <row r="19" spans="3:4">
      <c r="C19" t="s">
        <v>399</v>
      </c>
      <c r="D19" t="s">
        <v>399</v>
      </c>
    </row>
    <row r="20" spans="3:4">
      <c r="C20" t="s">
        <v>399</v>
      </c>
      <c r="D20" t="s">
        <v>399</v>
      </c>
    </row>
    <row r="21" spans="3:4">
      <c r="C21" t="s">
        <v>399</v>
      </c>
      <c r="D21" t="s">
        <v>399</v>
      </c>
    </row>
    <row r="22" spans="3:4">
      <c r="C22" t="s">
        <v>399</v>
      </c>
      <c r="D22" t="s">
        <v>399</v>
      </c>
    </row>
    <row r="23" spans="3:4">
      <c r="C23" t="s">
        <v>399</v>
      </c>
      <c r="D23" t="s">
        <v>399</v>
      </c>
    </row>
    <row r="24" spans="3:4">
      <c r="C24" t="s">
        <v>399</v>
      </c>
      <c r="D24" t="s">
        <v>399</v>
      </c>
    </row>
    <row r="25" spans="3:4">
      <c r="C25" t="s">
        <v>399</v>
      </c>
      <c r="D25" t="s">
        <v>399</v>
      </c>
    </row>
    <row r="26" spans="3:4">
      <c r="C26" t="s">
        <v>399</v>
      </c>
      <c r="D26" t="s">
        <v>399</v>
      </c>
    </row>
    <row r="27" spans="3:4">
      <c r="C27" t="s">
        <v>399</v>
      </c>
      <c r="D27" t="s">
        <v>399</v>
      </c>
    </row>
    <row r="28" spans="3:4">
      <c r="C28" t="s">
        <v>399</v>
      </c>
      <c r="D28" t="s">
        <v>399</v>
      </c>
    </row>
    <row r="29" spans="3:4">
      <c r="C29" t="s">
        <v>399</v>
      </c>
      <c r="D29" t="s">
        <v>399</v>
      </c>
    </row>
    <row r="30" spans="3:4">
      <c r="C30" t="s">
        <v>399</v>
      </c>
      <c r="D30" t="s">
        <v>399</v>
      </c>
    </row>
    <row r="31" spans="3:4">
      <c r="C31" t="s">
        <v>399</v>
      </c>
      <c r="D31" t="s">
        <v>399</v>
      </c>
    </row>
    <row r="32" spans="3:4">
      <c r="C32" t="s">
        <v>399</v>
      </c>
      <c r="D32" t="s">
        <v>399</v>
      </c>
    </row>
    <row r="33" spans="3:4">
      <c r="C33" t="s">
        <v>399</v>
      </c>
      <c r="D33" t="s">
        <v>399</v>
      </c>
    </row>
    <row r="34" spans="3:4">
      <c r="C34" t="s">
        <v>399</v>
      </c>
      <c r="D34" t="s">
        <v>399</v>
      </c>
    </row>
    <row r="35" spans="3:4">
      <c r="C35" t="s">
        <v>399</v>
      </c>
      <c r="D35" t="s">
        <v>399</v>
      </c>
    </row>
    <row r="36" spans="3:4">
      <c r="C36" t="s">
        <v>399</v>
      </c>
      <c r="D36" t="s">
        <v>399</v>
      </c>
    </row>
    <row r="37" spans="3:4">
      <c r="C37" t="s">
        <v>399</v>
      </c>
      <c r="D37" t="s">
        <v>399</v>
      </c>
    </row>
    <row r="38" spans="3:4">
      <c r="C38" t="s">
        <v>399</v>
      </c>
      <c r="D38" t="s">
        <v>399</v>
      </c>
    </row>
    <row r="39" spans="3:4">
      <c r="C39" t="s">
        <v>399</v>
      </c>
      <c r="D39" t="s">
        <v>399</v>
      </c>
    </row>
    <row r="40" spans="3:4">
      <c r="C40" t="s">
        <v>399</v>
      </c>
      <c r="D40" t="s">
        <v>399</v>
      </c>
    </row>
    <row r="41" spans="3:4">
      <c r="C41" t="s">
        <v>399</v>
      </c>
      <c r="D41" t="s">
        <v>399</v>
      </c>
    </row>
    <row r="42" spans="3:4">
      <c r="C42" t="s">
        <v>399</v>
      </c>
      <c r="D42" t="s">
        <v>399</v>
      </c>
    </row>
    <row r="43" spans="3:4">
      <c r="C43" t="s">
        <v>399</v>
      </c>
      <c r="D43" t="s">
        <v>399</v>
      </c>
    </row>
    <row r="44" spans="3:4">
      <c r="C44" t="s">
        <v>399</v>
      </c>
      <c r="D44" t="s">
        <v>399</v>
      </c>
    </row>
    <row r="45" spans="3:4">
      <c r="C45" t="s">
        <v>399</v>
      </c>
      <c r="D45" t="s">
        <v>399</v>
      </c>
    </row>
    <row r="46" spans="3:4">
      <c r="C46" t="s">
        <v>399</v>
      </c>
      <c r="D46" t="s">
        <v>399</v>
      </c>
    </row>
    <row r="47" spans="3:4">
      <c r="C47" t="s">
        <v>399</v>
      </c>
      <c r="D47" t="s">
        <v>399</v>
      </c>
    </row>
    <row r="48" spans="3:4">
      <c r="C48" t="s">
        <v>399</v>
      </c>
      <c r="D48" t="s">
        <v>399</v>
      </c>
    </row>
    <row r="49" spans="3:4">
      <c r="C49" t="s">
        <v>399</v>
      </c>
      <c r="D49" t="s">
        <v>399</v>
      </c>
    </row>
    <row r="50" spans="3:4">
      <c r="C50" t="s">
        <v>399</v>
      </c>
      <c r="D50" t="s">
        <v>399</v>
      </c>
    </row>
    <row r="51" spans="3:4">
      <c r="C51" t="s">
        <v>399</v>
      </c>
      <c r="D51" t="s">
        <v>399</v>
      </c>
    </row>
    <row r="52" spans="3:4">
      <c r="C52" t="s">
        <v>399</v>
      </c>
      <c r="D52" t="s">
        <v>399</v>
      </c>
    </row>
    <row r="53" spans="3:4">
      <c r="C53" t="s">
        <v>399</v>
      </c>
      <c r="D53" t="s">
        <v>399</v>
      </c>
    </row>
    <row r="54" spans="3:4">
      <c r="C54" t="s">
        <v>399</v>
      </c>
      <c r="D54" t="s">
        <v>399</v>
      </c>
    </row>
    <row r="55" spans="3:4">
      <c r="C55" t="s">
        <v>399</v>
      </c>
      <c r="D55" t="s">
        <v>399</v>
      </c>
    </row>
    <row r="56" spans="3:4">
      <c r="C56" t="s">
        <v>399</v>
      </c>
      <c r="D56" t="s">
        <v>399</v>
      </c>
    </row>
    <row r="57" spans="3:4">
      <c r="C57" t="s">
        <v>399</v>
      </c>
      <c r="D57" t="s">
        <v>399</v>
      </c>
    </row>
    <row r="58" spans="3:4">
      <c r="C58" t="s">
        <v>399</v>
      </c>
      <c r="D58" t="s">
        <v>399</v>
      </c>
    </row>
    <row r="59" spans="3:4">
      <c r="C59" t="s">
        <v>399</v>
      </c>
      <c r="D59" t="s">
        <v>399</v>
      </c>
    </row>
    <row r="60" spans="3:4">
      <c r="C60" t="s">
        <v>399</v>
      </c>
      <c r="D60" t="s">
        <v>399</v>
      </c>
    </row>
    <row r="61" spans="3:4">
      <c r="C61" t="s">
        <v>399</v>
      </c>
      <c r="D61" t="s">
        <v>399</v>
      </c>
    </row>
    <row r="62" spans="3:4">
      <c r="C62" t="s">
        <v>399</v>
      </c>
      <c r="D62" t="s">
        <v>399</v>
      </c>
    </row>
    <row r="63" spans="3:4">
      <c r="C63" t="s">
        <v>399</v>
      </c>
      <c r="D63" t="s">
        <v>399</v>
      </c>
    </row>
    <row r="64" spans="3:4">
      <c r="C64" t="s">
        <v>399</v>
      </c>
      <c r="D64" t="s">
        <v>399</v>
      </c>
    </row>
    <row r="65" spans="3:4">
      <c r="C65" t="s">
        <v>399</v>
      </c>
      <c r="D65" t="s">
        <v>399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50" sqref="G50"/>
    </sheetView>
  </sheetViews>
  <sheetFormatPr defaultColWidth="11.7109375" defaultRowHeight="15"/>
  <cols>
    <col min="1" max="1" width="57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222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4683571.2300000004</v>
      </c>
      <c r="D8" s="11">
        <f>D9+D11+D14+D15</f>
        <v>4438810.3099999996</v>
      </c>
    </row>
    <row r="9" spans="1:4" ht="30">
      <c r="A9" s="12" t="s">
        <v>90</v>
      </c>
      <c r="B9" s="13" t="s">
        <v>91</v>
      </c>
      <c r="C9" s="14">
        <f>4082799.22</f>
        <v>4082799.22</v>
      </c>
      <c r="D9" s="15">
        <v>4041727.17</v>
      </c>
    </row>
    <row r="10" spans="1:4">
      <c r="A10" s="16" t="s">
        <v>92</v>
      </c>
      <c r="B10" s="17" t="s">
        <v>93</v>
      </c>
      <c r="C10" s="18">
        <f>2653734.1781874</f>
        <v>2653734.1781874001</v>
      </c>
      <c r="D10" s="19">
        <f>_18h_E12</f>
        <v>2653734.1781874001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600772.01</v>
      </c>
      <c r="D15" s="15">
        <f>SUM(D16:D24)</f>
        <v>397083.14</v>
      </c>
    </row>
    <row r="16" spans="1:4">
      <c r="A16" s="22" t="s">
        <v>103</v>
      </c>
      <c r="B16" s="17" t="s">
        <v>104</v>
      </c>
      <c r="C16" s="111">
        <v>392593.44</v>
      </c>
      <c r="D16" s="113">
        <v>160399.35999999999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112408.08</f>
        <v>112408.08</v>
      </c>
      <c r="D18" s="19">
        <f>140912.23</f>
        <v>140912.23000000001</v>
      </c>
    </row>
    <row r="19" spans="1:4">
      <c r="A19" s="22" t="s">
        <v>109</v>
      </c>
      <c r="B19" s="17" t="s">
        <v>110</v>
      </c>
      <c r="C19" s="18">
        <f>11363.32</f>
        <v>11363.32</v>
      </c>
      <c r="D19" s="19">
        <f>11370.96</f>
        <v>11370.96</v>
      </c>
    </row>
    <row r="20" spans="1:4">
      <c r="A20" s="22" t="s">
        <v>111</v>
      </c>
      <c r="B20" s="17" t="s">
        <v>112</v>
      </c>
      <c r="C20" s="18">
        <f>14991.34</f>
        <v>14991.34</v>
      </c>
      <c r="D20" s="19">
        <f>14984.76</f>
        <v>14984.76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69415.83</f>
        <v>69415.83</v>
      </c>
      <c r="D22" s="19">
        <f>69415.83</f>
        <v>69415.83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1830568.8900000001</v>
      </c>
      <c r="D25" s="15">
        <f>D26+D27+D30+D28+D29+D31</f>
        <v>1149162.44</v>
      </c>
    </row>
    <row r="26" spans="1:4" ht="21" customHeight="1">
      <c r="A26" s="24" t="s">
        <v>123</v>
      </c>
      <c r="B26" s="20" t="s">
        <v>124</v>
      </c>
      <c r="C26" s="18">
        <f>629235</f>
        <v>629235</v>
      </c>
      <c r="D26" s="19">
        <f>629235</f>
        <v>629235</v>
      </c>
    </row>
    <row r="27" spans="1:4" ht="45">
      <c r="A27" s="24" t="s">
        <v>125</v>
      </c>
      <c r="B27" s="20" t="s">
        <v>126</v>
      </c>
      <c r="C27" s="18">
        <f>76859.16</f>
        <v>76859.16</v>
      </c>
      <c r="D27" s="19">
        <f>76790.74</f>
        <v>76790.740000000005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76742.04</f>
        <v>76742.039999999994</v>
      </c>
      <c r="D29" s="19">
        <f>76071.13</f>
        <v>76071.13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1047732.69</v>
      </c>
      <c r="D31" s="15">
        <f>SUM(D32:D39)</f>
        <v>367065.57</v>
      </c>
    </row>
    <row r="32" spans="1:4" ht="18.75" customHeight="1">
      <c r="A32" s="24" t="s">
        <v>135</v>
      </c>
      <c r="B32" s="17" t="s">
        <v>136</v>
      </c>
      <c r="C32" s="18">
        <f>114867.79</f>
        <v>114867.79</v>
      </c>
      <c r="D32" s="19">
        <f>114867.84</f>
        <v>114867.84</v>
      </c>
    </row>
    <row r="33" spans="1:4">
      <c r="A33" s="24" t="s">
        <v>137</v>
      </c>
      <c r="B33" s="17" t="s">
        <v>138</v>
      </c>
      <c r="C33" s="18">
        <f>104306.16</f>
        <v>104306.16</v>
      </c>
      <c r="D33" s="19">
        <f>94046.86</f>
        <v>94046.86</v>
      </c>
    </row>
    <row r="34" spans="1:4">
      <c r="A34" s="24" t="s">
        <v>139</v>
      </c>
      <c r="B34" s="17" t="s">
        <v>140</v>
      </c>
      <c r="C34" s="18">
        <f>156128.52</f>
        <v>156128.51999999999</v>
      </c>
      <c r="D34" s="19">
        <f>158150.87</f>
        <v>158150.87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672430.22</f>
        <v>672430.22</v>
      </c>
      <c r="D39" s="19"/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46122.96</v>
      </c>
      <c r="D45" s="27">
        <f>SUM(D46:D48)</f>
        <v>826319.14999999991</v>
      </c>
    </row>
    <row r="46" spans="1:4">
      <c r="A46" s="21" t="s">
        <v>163</v>
      </c>
      <c r="B46" s="17" t="s">
        <v>164</v>
      </c>
      <c r="C46" s="18">
        <f>44472.12</f>
        <v>44472.12</v>
      </c>
      <c r="D46" s="19">
        <f>49269.21</f>
        <v>49269.21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775399.1</v>
      </c>
    </row>
    <row r="48" spans="1:4">
      <c r="A48" s="21" t="s">
        <v>166</v>
      </c>
      <c r="B48" s="17" t="s">
        <v>167</v>
      </c>
      <c r="C48" s="18">
        <f>1650.84</f>
        <v>1650.84</v>
      </c>
      <c r="D48" s="19">
        <f>1650.84</f>
        <v>1650.84</v>
      </c>
    </row>
    <row r="49" spans="1:4">
      <c r="A49" s="8" t="s">
        <v>440</v>
      </c>
      <c r="B49" s="28" t="s">
        <v>168</v>
      </c>
      <c r="C49" s="29">
        <f>518760.72</f>
        <v>518760.72</v>
      </c>
      <c r="D49" s="30">
        <f>664731.9</f>
        <v>664731.9</v>
      </c>
    </row>
    <row r="50" spans="1:4">
      <c r="A50" s="8" t="s">
        <v>169</v>
      </c>
      <c r="B50" s="9" t="s">
        <v>170</v>
      </c>
      <c r="C50" s="14">
        <f>C8+C25+C40+C41+C42+C43+C44+C45+C49+C51+C52</f>
        <v>7079023.8000000007</v>
      </c>
      <c r="D50" s="15">
        <f>D8+D25+D40+D41+D42+D43+D44+D45+D49+D51+D52</f>
        <v>7079023.8000000007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4020547.02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3937968.3</f>
        <v>3937968.3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82578.72</f>
        <v>82578.720000000001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2160516</f>
        <v>2160516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6181063.0199999996</v>
      </c>
      <c r="D59" s="27">
        <f>D54+D57+D58</f>
        <v>0</v>
      </c>
    </row>
    <row r="60" spans="1:4" ht="25.5">
      <c r="A60" s="33" t="s">
        <v>188</v>
      </c>
      <c r="B60" s="9"/>
      <c r="C60" s="34">
        <v>26277</v>
      </c>
      <c r="D60" s="35">
        <v>26277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398</v>
      </c>
      <c r="D7" t="s">
        <v>398</v>
      </c>
    </row>
    <row r="8" spans="3:4">
      <c r="C8" t="s">
        <v>398</v>
      </c>
      <c r="D8" t="s">
        <v>398</v>
      </c>
    </row>
    <row r="9" spans="3:4">
      <c r="C9" t="s">
        <v>398</v>
      </c>
      <c r="D9" t="s">
        <v>398</v>
      </c>
    </row>
    <row r="10" spans="3:4">
      <c r="C10" t="s">
        <v>398</v>
      </c>
      <c r="D10" t="s">
        <v>398</v>
      </c>
    </row>
    <row r="11" spans="3:4">
      <c r="C11" t="s">
        <v>398</v>
      </c>
      <c r="D11" t="s">
        <v>398</v>
      </c>
    </row>
    <row r="12" spans="3:4">
      <c r="C12" t="s">
        <v>398</v>
      </c>
      <c r="D12" t="s">
        <v>398</v>
      </c>
    </row>
    <row r="13" spans="3:4">
      <c r="C13" t="s">
        <v>398</v>
      </c>
      <c r="D13" t="s">
        <v>398</v>
      </c>
    </row>
    <row r="14" spans="3:4">
      <c r="C14" t="s">
        <v>398</v>
      </c>
      <c r="D14" t="s">
        <v>398</v>
      </c>
    </row>
    <row r="15" spans="3:4">
      <c r="C15" t="s">
        <v>398</v>
      </c>
      <c r="D15" t="s">
        <v>398</v>
      </c>
    </row>
    <row r="16" spans="3:4">
      <c r="C16" t="s">
        <v>398</v>
      </c>
      <c r="D16" t="s">
        <v>398</v>
      </c>
    </row>
    <row r="17" spans="3:4">
      <c r="C17" t="s">
        <v>398</v>
      </c>
      <c r="D17" t="s">
        <v>398</v>
      </c>
    </row>
    <row r="18" spans="3:4">
      <c r="C18" t="s">
        <v>398</v>
      </c>
      <c r="D18" t="s">
        <v>398</v>
      </c>
    </row>
    <row r="19" spans="3:4">
      <c r="C19" t="s">
        <v>398</v>
      </c>
      <c r="D19" t="s">
        <v>398</v>
      </c>
    </row>
    <row r="20" spans="3:4">
      <c r="C20" t="s">
        <v>398</v>
      </c>
      <c r="D20" t="s">
        <v>398</v>
      </c>
    </row>
    <row r="21" spans="3:4">
      <c r="C21" t="s">
        <v>398</v>
      </c>
      <c r="D21" t="s">
        <v>398</v>
      </c>
    </row>
    <row r="22" spans="3:4">
      <c r="C22" t="s">
        <v>398</v>
      </c>
      <c r="D22" t="s">
        <v>398</v>
      </c>
    </row>
    <row r="23" spans="3:4">
      <c r="C23" t="s">
        <v>398</v>
      </c>
      <c r="D23" t="s">
        <v>398</v>
      </c>
    </row>
    <row r="24" spans="3:4">
      <c r="C24" t="s">
        <v>398</v>
      </c>
      <c r="D24" t="s">
        <v>398</v>
      </c>
    </row>
    <row r="25" spans="3:4">
      <c r="C25" t="s">
        <v>398</v>
      </c>
      <c r="D25" t="s">
        <v>398</v>
      </c>
    </row>
    <row r="26" spans="3:4">
      <c r="C26" t="s">
        <v>398</v>
      </c>
      <c r="D26" t="s">
        <v>398</v>
      </c>
    </row>
    <row r="27" spans="3:4">
      <c r="C27" t="s">
        <v>398</v>
      </c>
      <c r="D27" t="s">
        <v>398</v>
      </c>
    </row>
    <row r="28" spans="3:4">
      <c r="C28" t="s">
        <v>398</v>
      </c>
      <c r="D28" t="s">
        <v>398</v>
      </c>
    </row>
    <row r="29" spans="3:4">
      <c r="C29" t="s">
        <v>398</v>
      </c>
      <c r="D29" t="s">
        <v>398</v>
      </c>
    </row>
    <row r="30" spans="3:4">
      <c r="C30" t="s">
        <v>398</v>
      </c>
      <c r="D30" t="s">
        <v>398</v>
      </c>
    </row>
    <row r="31" spans="3:4">
      <c r="C31" t="s">
        <v>398</v>
      </c>
      <c r="D31" t="s">
        <v>398</v>
      </c>
    </row>
    <row r="32" spans="3:4">
      <c r="C32" t="s">
        <v>398</v>
      </c>
      <c r="D32" t="s">
        <v>398</v>
      </c>
    </row>
    <row r="33" spans="3:4">
      <c r="C33" t="s">
        <v>398</v>
      </c>
      <c r="D33" t="s">
        <v>398</v>
      </c>
    </row>
    <row r="34" spans="3:4">
      <c r="C34" t="s">
        <v>398</v>
      </c>
      <c r="D34" t="s">
        <v>398</v>
      </c>
    </row>
    <row r="35" spans="3:4">
      <c r="C35" t="s">
        <v>398</v>
      </c>
      <c r="D35" t="s">
        <v>398</v>
      </c>
    </row>
    <row r="36" spans="3:4">
      <c r="C36" t="s">
        <v>398</v>
      </c>
      <c r="D36" t="s">
        <v>398</v>
      </c>
    </row>
    <row r="37" spans="3:4">
      <c r="C37" t="s">
        <v>398</v>
      </c>
      <c r="D37" t="s">
        <v>398</v>
      </c>
    </row>
    <row r="38" spans="3:4">
      <c r="C38" t="s">
        <v>398</v>
      </c>
      <c r="D38" t="s">
        <v>398</v>
      </c>
    </row>
    <row r="39" spans="3:4">
      <c r="C39" t="s">
        <v>398</v>
      </c>
      <c r="D39" t="s">
        <v>398</v>
      </c>
    </row>
    <row r="40" spans="3:4">
      <c r="C40" t="s">
        <v>398</v>
      </c>
      <c r="D40" t="s">
        <v>398</v>
      </c>
    </row>
    <row r="41" spans="3:4">
      <c r="C41" t="s">
        <v>398</v>
      </c>
      <c r="D41" t="s">
        <v>398</v>
      </c>
    </row>
    <row r="42" spans="3:4">
      <c r="C42" t="s">
        <v>398</v>
      </c>
      <c r="D42" t="s">
        <v>398</v>
      </c>
    </row>
    <row r="43" spans="3:4">
      <c r="C43" t="s">
        <v>398</v>
      </c>
      <c r="D43" t="s">
        <v>398</v>
      </c>
    </row>
    <row r="44" spans="3:4">
      <c r="C44" t="s">
        <v>398</v>
      </c>
      <c r="D44" t="s">
        <v>398</v>
      </c>
    </row>
    <row r="45" spans="3:4">
      <c r="C45" t="s">
        <v>398</v>
      </c>
      <c r="D45" t="s">
        <v>398</v>
      </c>
    </row>
    <row r="46" spans="3:4">
      <c r="C46" t="s">
        <v>398</v>
      </c>
      <c r="D46" t="s">
        <v>398</v>
      </c>
    </row>
    <row r="47" spans="3:4">
      <c r="C47" t="s">
        <v>398</v>
      </c>
      <c r="D47" t="s">
        <v>398</v>
      </c>
    </row>
    <row r="48" spans="3:4">
      <c r="C48" t="s">
        <v>398</v>
      </c>
      <c r="D48" t="s">
        <v>398</v>
      </c>
    </row>
    <row r="49" spans="3:4">
      <c r="C49" t="s">
        <v>398</v>
      </c>
      <c r="D49" t="s">
        <v>398</v>
      </c>
    </row>
    <row r="50" spans="3:4">
      <c r="C50" t="s">
        <v>398</v>
      </c>
      <c r="D50" t="s">
        <v>398</v>
      </c>
    </row>
    <row r="51" spans="3:4">
      <c r="C51" t="s">
        <v>398</v>
      </c>
      <c r="D51" t="s">
        <v>398</v>
      </c>
    </row>
    <row r="52" spans="3:4">
      <c r="C52" t="s">
        <v>398</v>
      </c>
      <c r="D52" t="s">
        <v>398</v>
      </c>
    </row>
    <row r="53" spans="3:4">
      <c r="C53" t="s">
        <v>398</v>
      </c>
      <c r="D53" t="s">
        <v>398</v>
      </c>
    </row>
    <row r="54" spans="3:4">
      <c r="C54" t="s">
        <v>398</v>
      </c>
      <c r="D54" t="s">
        <v>398</v>
      </c>
    </row>
    <row r="55" spans="3:4">
      <c r="C55" t="s">
        <v>398</v>
      </c>
      <c r="D55" t="s">
        <v>398</v>
      </c>
    </row>
    <row r="56" spans="3:4">
      <c r="C56" t="s">
        <v>398</v>
      </c>
      <c r="D56" t="s">
        <v>398</v>
      </c>
    </row>
    <row r="57" spans="3:4">
      <c r="C57" t="s">
        <v>398</v>
      </c>
      <c r="D57" t="s">
        <v>398</v>
      </c>
    </row>
    <row r="58" spans="3:4">
      <c r="C58" t="s">
        <v>398</v>
      </c>
      <c r="D58" t="s">
        <v>398</v>
      </c>
    </row>
    <row r="59" spans="3:4">
      <c r="C59" t="s">
        <v>398</v>
      </c>
      <c r="D59" t="s">
        <v>398</v>
      </c>
    </row>
    <row r="60" spans="3:4">
      <c r="C60" t="s">
        <v>398</v>
      </c>
      <c r="D60" t="s">
        <v>398</v>
      </c>
    </row>
    <row r="61" spans="3:4">
      <c r="C61" t="s">
        <v>398</v>
      </c>
      <c r="D61" t="s">
        <v>398</v>
      </c>
    </row>
    <row r="62" spans="3:4">
      <c r="C62" t="s">
        <v>398</v>
      </c>
      <c r="D62" t="s">
        <v>398</v>
      </c>
    </row>
    <row r="63" spans="3:4">
      <c r="C63" t="s">
        <v>398</v>
      </c>
      <c r="D63" t="s">
        <v>398</v>
      </c>
    </row>
    <row r="64" spans="3:4">
      <c r="C64" t="s">
        <v>398</v>
      </c>
      <c r="D64" t="s">
        <v>398</v>
      </c>
    </row>
    <row r="65" spans="3:4">
      <c r="C65" t="s">
        <v>398</v>
      </c>
      <c r="D65" t="s">
        <v>398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396</v>
      </c>
      <c r="D7" t="s">
        <v>396</v>
      </c>
    </row>
    <row r="8" spans="3:4">
      <c r="C8" t="s">
        <v>396</v>
      </c>
      <c r="D8" t="s">
        <v>396</v>
      </c>
    </row>
    <row r="9" spans="3:4">
      <c r="C9" t="s">
        <v>396</v>
      </c>
      <c r="D9" t="s">
        <v>396</v>
      </c>
    </row>
    <row r="10" spans="3:4">
      <c r="C10" t="s">
        <v>396</v>
      </c>
      <c r="D10" t="s">
        <v>396</v>
      </c>
    </row>
    <row r="11" spans="3:4">
      <c r="C11" t="s">
        <v>396</v>
      </c>
      <c r="D11" t="s">
        <v>396</v>
      </c>
    </row>
    <row r="12" spans="3:4">
      <c r="C12" t="s">
        <v>396</v>
      </c>
      <c r="D12" t="s">
        <v>396</v>
      </c>
    </row>
    <row r="13" spans="3:4">
      <c r="C13" t="s">
        <v>396</v>
      </c>
      <c r="D13" t="s">
        <v>396</v>
      </c>
    </row>
    <row r="14" spans="3:4">
      <c r="C14" t="s">
        <v>396</v>
      </c>
      <c r="D14" t="s">
        <v>396</v>
      </c>
    </row>
    <row r="15" spans="3:4">
      <c r="C15" t="s">
        <v>396</v>
      </c>
      <c r="D15" t="s">
        <v>396</v>
      </c>
    </row>
    <row r="16" spans="3:4">
      <c r="C16" t="s">
        <v>396</v>
      </c>
      <c r="D16" t="s">
        <v>396</v>
      </c>
    </row>
    <row r="17" spans="3:4">
      <c r="C17" t="s">
        <v>396</v>
      </c>
      <c r="D17" t="s">
        <v>396</v>
      </c>
    </row>
    <row r="18" spans="3:4">
      <c r="C18" t="s">
        <v>396</v>
      </c>
      <c r="D18" t="s">
        <v>396</v>
      </c>
    </row>
    <row r="19" spans="3:4">
      <c r="C19" t="s">
        <v>396</v>
      </c>
      <c r="D19" t="s">
        <v>396</v>
      </c>
    </row>
    <row r="20" spans="3:4">
      <c r="C20" t="s">
        <v>396</v>
      </c>
      <c r="D20" t="s">
        <v>396</v>
      </c>
    </row>
    <row r="21" spans="3:4">
      <c r="C21" t="s">
        <v>396</v>
      </c>
      <c r="D21" t="s">
        <v>396</v>
      </c>
    </row>
    <row r="22" spans="3:4">
      <c r="C22" t="s">
        <v>396</v>
      </c>
      <c r="D22" t="s">
        <v>396</v>
      </c>
    </row>
    <row r="23" spans="3:4">
      <c r="C23" t="s">
        <v>396</v>
      </c>
      <c r="D23" t="s">
        <v>396</v>
      </c>
    </row>
    <row r="24" spans="3:4">
      <c r="C24" t="s">
        <v>396</v>
      </c>
      <c r="D24" t="s">
        <v>396</v>
      </c>
    </row>
    <row r="25" spans="3:4">
      <c r="C25" t="s">
        <v>396</v>
      </c>
      <c r="D25" t="s">
        <v>396</v>
      </c>
    </row>
    <row r="26" spans="3:4">
      <c r="C26" t="s">
        <v>396</v>
      </c>
      <c r="D26" t="s">
        <v>396</v>
      </c>
    </row>
    <row r="27" spans="3:4">
      <c r="C27" t="s">
        <v>396</v>
      </c>
      <c r="D27" t="s">
        <v>396</v>
      </c>
    </row>
    <row r="28" spans="3:4">
      <c r="C28" t="s">
        <v>396</v>
      </c>
      <c r="D28" t="s">
        <v>396</v>
      </c>
    </row>
    <row r="29" spans="3:4">
      <c r="C29" t="s">
        <v>396</v>
      </c>
      <c r="D29" t="s">
        <v>396</v>
      </c>
    </row>
    <row r="30" spans="3:4">
      <c r="C30" t="s">
        <v>396</v>
      </c>
      <c r="D30" t="s">
        <v>396</v>
      </c>
    </row>
    <row r="31" spans="3:4">
      <c r="C31" t="s">
        <v>396</v>
      </c>
      <c r="D31" t="s">
        <v>396</v>
      </c>
    </row>
    <row r="32" spans="3:4">
      <c r="C32" t="s">
        <v>396</v>
      </c>
      <c r="D32" t="s">
        <v>396</v>
      </c>
    </row>
    <row r="33" spans="3:4">
      <c r="C33" t="s">
        <v>396</v>
      </c>
      <c r="D33" t="s">
        <v>396</v>
      </c>
    </row>
    <row r="34" spans="3:4">
      <c r="C34" t="s">
        <v>396</v>
      </c>
      <c r="D34" t="s">
        <v>396</v>
      </c>
    </row>
    <row r="35" spans="3:4">
      <c r="C35" t="s">
        <v>396</v>
      </c>
      <c r="D35" t="s">
        <v>396</v>
      </c>
    </row>
    <row r="36" spans="3:4">
      <c r="C36" t="s">
        <v>396</v>
      </c>
      <c r="D36" t="s">
        <v>396</v>
      </c>
    </row>
    <row r="37" spans="3:4">
      <c r="C37" t="s">
        <v>396</v>
      </c>
      <c r="D37" t="s">
        <v>396</v>
      </c>
    </row>
    <row r="38" spans="3:4">
      <c r="C38" t="s">
        <v>396</v>
      </c>
      <c r="D38" t="s">
        <v>396</v>
      </c>
    </row>
    <row r="39" spans="3:4">
      <c r="C39" t="s">
        <v>396</v>
      </c>
      <c r="D39" t="s">
        <v>396</v>
      </c>
    </row>
    <row r="40" spans="3:4">
      <c r="C40" t="s">
        <v>396</v>
      </c>
      <c r="D40" t="s">
        <v>396</v>
      </c>
    </row>
    <row r="41" spans="3:4">
      <c r="C41" t="s">
        <v>396</v>
      </c>
      <c r="D41" t="s">
        <v>396</v>
      </c>
    </row>
    <row r="42" spans="3:4">
      <c r="C42" t="s">
        <v>396</v>
      </c>
      <c r="D42" t="s">
        <v>396</v>
      </c>
    </row>
    <row r="43" spans="3:4">
      <c r="C43" t="s">
        <v>396</v>
      </c>
      <c r="D43" t="s">
        <v>396</v>
      </c>
    </row>
    <row r="44" spans="3:4">
      <c r="C44" t="s">
        <v>396</v>
      </c>
      <c r="D44" t="s">
        <v>396</v>
      </c>
    </row>
    <row r="45" spans="3:4">
      <c r="C45" t="s">
        <v>396</v>
      </c>
      <c r="D45" t="s">
        <v>396</v>
      </c>
    </row>
    <row r="46" spans="3:4">
      <c r="C46" t="s">
        <v>396</v>
      </c>
      <c r="D46" t="s">
        <v>396</v>
      </c>
    </row>
    <row r="47" spans="3:4">
      <c r="C47" t="s">
        <v>396</v>
      </c>
      <c r="D47" t="s">
        <v>396</v>
      </c>
    </row>
    <row r="48" spans="3:4">
      <c r="C48" t="s">
        <v>396</v>
      </c>
      <c r="D48" t="s">
        <v>396</v>
      </c>
    </row>
    <row r="49" spans="3:4">
      <c r="C49" t="s">
        <v>396</v>
      </c>
      <c r="D49" t="s">
        <v>396</v>
      </c>
    </row>
    <row r="50" spans="3:4">
      <c r="C50" t="s">
        <v>396</v>
      </c>
      <c r="D50" t="s">
        <v>396</v>
      </c>
    </row>
    <row r="51" spans="3:4">
      <c r="C51" t="s">
        <v>396</v>
      </c>
      <c r="D51" t="s">
        <v>396</v>
      </c>
    </row>
    <row r="52" spans="3:4">
      <c r="C52" t="s">
        <v>396</v>
      </c>
      <c r="D52" t="s">
        <v>396</v>
      </c>
    </row>
    <row r="53" spans="3:4">
      <c r="C53" t="s">
        <v>396</v>
      </c>
      <c r="D53" t="s">
        <v>396</v>
      </c>
    </row>
    <row r="54" spans="3:4">
      <c r="C54" t="s">
        <v>396</v>
      </c>
      <c r="D54" t="s">
        <v>396</v>
      </c>
    </row>
    <row r="55" spans="3:4">
      <c r="C55" t="s">
        <v>396</v>
      </c>
      <c r="D55" t="s">
        <v>396</v>
      </c>
    </row>
    <row r="56" spans="3:4">
      <c r="C56" t="s">
        <v>396</v>
      </c>
      <c r="D56" t="s">
        <v>396</v>
      </c>
    </row>
    <row r="57" spans="3:4">
      <c r="C57" t="s">
        <v>396</v>
      </c>
      <c r="D57" t="s">
        <v>396</v>
      </c>
    </row>
    <row r="58" spans="3:4">
      <c r="C58" t="s">
        <v>396</v>
      </c>
      <c r="D58" t="s">
        <v>396</v>
      </c>
    </row>
    <row r="59" spans="3:4">
      <c r="C59" t="s">
        <v>396</v>
      </c>
      <c r="D59" t="s">
        <v>396</v>
      </c>
    </row>
    <row r="60" spans="3:4">
      <c r="C60" t="s">
        <v>396</v>
      </c>
      <c r="D60" t="s">
        <v>396</v>
      </c>
    </row>
    <row r="61" spans="3:4">
      <c r="C61" t="s">
        <v>396</v>
      </c>
      <c r="D61" t="s">
        <v>396</v>
      </c>
    </row>
    <row r="62" spans="3:4">
      <c r="C62" t="s">
        <v>396</v>
      </c>
      <c r="D62" t="s">
        <v>396</v>
      </c>
    </row>
    <row r="63" spans="3:4">
      <c r="C63" t="s">
        <v>396</v>
      </c>
      <c r="D63" t="s">
        <v>396</v>
      </c>
    </row>
    <row r="64" spans="3:4">
      <c r="C64" t="s">
        <v>396</v>
      </c>
      <c r="D64" t="s">
        <v>396</v>
      </c>
    </row>
    <row r="65" spans="3:4">
      <c r="C65" t="s">
        <v>396</v>
      </c>
      <c r="D65" t="s">
        <v>396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394</v>
      </c>
      <c r="D7" t="s">
        <v>394</v>
      </c>
    </row>
    <row r="8" spans="3:4">
      <c r="C8" t="s">
        <v>394</v>
      </c>
      <c r="D8" t="s">
        <v>394</v>
      </c>
    </row>
    <row r="9" spans="3:4">
      <c r="C9" t="s">
        <v>394</v>
      </c>
      <c r="D9" t="s">
        <v>394</v>
      </c>
    </row>
    <row r="10" spans="3:4">
      <c r="C10" t="s">
        <v>394</v>
      </c>
      <c r="D10" t="s">
        <v>394</v>
      </c>
    </row>
    <row r="11" spans="3:4">
      <c r="C11" t="s">
        <v>394</v>
      </c>
      <c r="D11" t="s">
        <v>394</v>
      </c>
    </row>
    <row r="12" spans="3:4">
      <c r="C12" t="s">
        <v>394</v>
      </c>
      <c r="D12" t="s">
        <v>394</v>
      </c>
    </row>
    <row r="13" spans="3:4">
      <c r="C13" t="s">
        <v>394</v>
      </c>
      <c r="D13" t="s">
        <v>394</v>
      </c>
    </row>
    <row r="14" spans="3:4">
      <c r="C14" t="s">
        <v>394</v>
      </c>
      <c r="D14" t="s">
        <v>394</v>
      </c>
    </row>
    <row r="15" spans="3:4">
      <c r="C15" t="s">
        <v>394</v>
      </c>
      <c r="D15" t="s">
        <v>394</v>
      </c>
    </row>
    <row r="16" spans="3:4">
      <c r="C16" t="s">
        <v>394</v>
      </c>
      <c r="D16" t="s">
        <v>394</v>
      </c>
    </row>
    <row r="17" spans="3:4">
      <c r="C17" t="s">
        <v>394</v>
      </c>
      <c r="D17" t="s">
        <v>394</v>
      </c>
    </row>
    <row r="18" spans="3:4">
      <c r="C18" t="s">
        <v>394</v>
      </c>
      <c r="D18" t="s">
        <v>394</v>
      </c>
    </row>
    <row r="19" spans="3:4">
      <c r="C19" t="s">
        <v>394</v>
      </c>
      <c r="D19" t="s">
        <v>394</v>
      </c>
    </row>
    <row r="20" spans="3:4">
      <c r="C20" t="s">
        <v>394</v>
      </c>
      <c r="D20" t="s">
        <v>394</v>
      </c>
    </row>
    <row r="21" spans="3:4">
      <c r="C21" t="s">
        <v>394</v>
      </c>
      <c r="D21" t="s">
        <v>394</v>
      </c>
    </row>
    <row r="22" spans="3:4">
      <c r="C22" t="s">
        <v>394</v>
      </c>
      <c r="D22" t="s">
        <v>394</v>
      </c>
    </row>
    <row r="23" spans="3:4">
      <c r="C23" t="s">
        <v>394</v>
      </c>
      <c r="D23" t="s">
        <v>394</v>
      </c>
    </row>
    <row r="24" spans="3:4">
      <c r="C24" t="s">
        <v>394</v>
      </c>
      <c r="D24" t="s">
        <v>394</v>
      </c>
    </row>
    <row r="25" spans="3:4">
      <c r="C25" t="s">
        <v>394</v>
      </c>
      <c r="D25" t="s">
        <v>394</v>
      </c>
    </row>
    <row r="26" spans="3:4">
      <c r="C26" t="s">
        <v>394</v>
      </c>
      <c r="D26" t="s">
        <v>394</v>
      </c>
    </row>
    <row r="27" spans="3:4">
      <c r="C27" t="s">
        <v>394</v>
      </c>
      <c r="D27" t="s">
        <v>394</v>
      </c>
    </row>
    <row r="28" spans="3:4">
      <c r="C28" t="s">
        <v>394</v>
      </c>
      <c r="D28" t="s">
        <v>394</v>
      </c>
    </row>
    <row r="29" spans="3:4">
      <c r="C29" t="s">
        <v>394</v>
      </c>
      <c r="D29" t="s">
        <v>394</v>
      </c>
    </row>
    <row r="30" spans="3:4">
      <c r="C30" t="s">
        <v>394</v>
      </c>
      <c r="D30" t="s">
        <v>394</v>
      </c>
    </row>
    <row r="31" spans="3:4">
      <c r="C31" t="s">
        <v>394</v>
      </c>
      <c r="D31" t="s">
        <v>394</v>
      </c>
    </row>
    <row r="32" spans="3:4">
      <c r="C32" t="s">
        <v>394</v>
      </c>
      <c r="D32" t="s">
        <v>394</v>
      </c>
    </row>
    <row r="33" spans="3:4">
      <c r="C33" t="s">
        <v>394</v>
      </c>
      <c r="D33" t="s">
        <v>394</v>
      </c>
    </row>
    <row r="34" spans="3:4">
      <c r="C34" t="s">
        <v>394</v>
      </c>
      <c r="D34" t="s">
        <v>394</v>
      </c>
    </row>
    <row r="35" spans="3:4">
      <c r="C35" t="s">
        <v>394</v>
      </c>
      <c r="D35" t="s">
        <v>394</v>
      </c>
    </row>
    <row r="36" spans="3:4">
      <c r="C36" t="s">
        <v>394</v>
      </c>
      <c r="D36" t="s">
        <v>394</v>
      </c>
    </row>
    <row r="37" spans="3:4">
      <c r="C37" t="s">
        <v>394</v>
      </c>
      <c r="D37" t="s">
        <v>394</v>
      </c>
    </row>
    <row r="38" spans="3:4">
      <c r="C38" t="s">
        <v>394</v>
      </c>
      <c r="D38" t="s">
        <v>394</v>
      </c>
    </row>
    <row r="39" spans="3:4">
      <c r="C39" t="s">
        <v>394</v>
      </c>
      <c r="D39" t="s">
        <v>394</v>
      </c>
    </row>
    <row r="40" spans="3:4">
      <c r="C40" t="s">
        <v>394</v>
      </c>
      <c r="D40" t="s">
        <v>394</v>
      </c>
    </row>
    <row r="41" spans="3:4">
      <c r="C41" t="s">
        <v>394</v>
      </c>
      <c r="D41" t="s">
        <v>394</v>
      </c>
    </row>
    <row r="42" spans="3:4">
      <c r="C42" t="s">
        <v>394</v>
      </c>
      <c r="D42" t="s">
        <v>394</v>
      </c>
    </row>
    <row r="43" spans="3:4">
      <c r="C43" t="s">
        <v>394</v>
      </c>
      <c r="D43" t="s">
        <v>394</v>
      </c>
    </row>
    <row r="44" spans="3:4">
      <c r="C44" t="s">
        <v>394</v>
      </c>
      <c r="D44" t="s">
        <v>394</v>
      </c>
    </row>
    <row r="45" spans="3:4">
      <c r="C45" t="s">
        <v>394</v>
      </c>
      <c r="D45" t="s">
        <v>394</v>
      </c>
    </row>
    <row r="46" spans="3:4">
      <c r="C46" t="s">
        <v>394</v>
      </c>
      <c r="D46" t="s">
        <v>394</v>
      </c>
    </row>
    <row r="47" spans="3:4">
      <c r="C47" t="s">
        <v>394</v>
      </c>
      <c r="D47" t="s">
        <v>394</v>
      </c>
    </row>
    <row r="48" spans="3:4">
      <c r="C48" t="s">
        <v>394</v>
      </c>
      <c r="D48" t="s">
        <v>394</v>
      </c>
    </row>
    <row r="49" spans="3:4">
      <c r="C49" t="s">
        <v>394</v>
      </c>
      <c r="D49" t="s">
        <v>394</v>
      </c>
    </row>
    <row r="50" spans="3:4">
      <c r="C50" t="s">
        <v>394</v>
      </c>
      <c r="D50" t="s">
        <v>394</v>
      </c>
    </row>
    <row r="51" spans="3:4">
      <c r="C51" t="s">
        <v>394</v>
      </c>
      <c r="D51" t="s">
        <v>394</v>
      </c>
    </row>
    <row r="52" spans="3:4">
      <c r="C52" t="s">
        <v>394</v>
      </c>
      <c r="D52" t="s">
        <v>394</v>
      </c>
    </row>
    <row r="53" spans="3:4">
      <c r="C53" t="s">
        <v>394</v>
      </c>
      <c r="D53" t="s">
        <v>394</v>
      </c>
    </row>
    <row r="54" spans="3:4">
      <c r="C54" t="s">
        <v>394</v>
      </c>
      <c r="D54" t="s">
        <v>394</v>
      </c>
    </row>
    <row r="55" spans="3:4">
      <c r="C55" t="s">
        <v>394</v>
      </c>
      <c r="D55" t="s">
        <v>394</v>
      </c>
    </row>
    <row r="56" spans="3:4">
      <c r="C56" t="s">
        <v>394</v>
      </c>
      <c r="D56" t="s">
        <v>394</v>
      </c>
    </row>
    <row r="57" spans="3:4">
      <c r="C57" t="s">
        <v>394</v>
      </c>
      <c r="D57" t="s">
        <v>394</v>
      </c>
    </row>
    <row r="58" spans="3:4">
      <c r="C58" t="s">
        <v>394</v>
      </c>
      <c r="D58" t="s">
        <v>394</v>
      </c>
    </row>
    <row r="59" spans="3:4">
      <c r="C59" t="s">
        <v>394</v>
      </c>
      <c r="D59" t="s">
        <v>394</v>
      </c>
    </row>
    <row r="60" spans="3:4">
      <c r="C60" t="s">
        <v>394</v>
      </c>
      <c r="D60" t="s">
        <v>394</v>
      </c>
    </row>
    <row r="61" spans="3:4">
      <c r="C61" t="s">
        <v>394</v>
      </c>
      <c r="D61" t="s">
        <v>394</v>
      </c>
    </row>
    <row r="62" spans="3:4">
      <c r="C62" t="s">
        <v>394</v>
      </c>
      <c r="D62" t="s">
        <v>394</v>
      </c>
    </row>
    <row r="63" spans="3:4">
      <c r="C63" t="s">
        <v>394</v>
      </c>
      <c r="D63" t="s">
        <v>394</v>
      </c>
    </row>
    <row r="64" spans="3:4">
      <c r="C64" t="s">
        <v>394</v>
      </c>
      <c r="D64" t="s">
        <v>394</v>
      </c>
    </row>
    <row r="65" spans="3:4">
      <c r="C65" t="s">
        <v>394</v>
      </c>
      <c r="D65" t="s">
        <v>394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393</v>
      </c>
      <c r="D7" t="s">
        <v>393</v>
      </c>
    </row>
    <row r="8" spans="3:4">
      <c r="C8" t="s">
        <v>393</v>
      </c>
      <c r="D8" t="s">
        <v>393</v>
      </c>
    </row>
    <row r="9" spans="3:4">
      <c r="C9" t="s">
        <v>393</v>
      </c>
      <c r="D9" t="s">
        <v>393</v>
      </c>
    </row>
    <row r="10" spans="3:4">
      <c r="C10" t="s">
        <v>393</v>
      </c>
      <c r="D10" t="s">
        <v>393</v>
      </c>
    </row>
    <row r="11" spans="3:4">
      <c r="C11" t="s">
        <v>393</v>
      </c>
      <c r="D11" t="s">
        <v>393</v>
      </c>
    </row>
    <row r="12" spans="3:4">
      <c r="C12" t="s">
        <v>393</v>
      </c>
      <c r="D12" t="s">
        <v>393</v>
      </c>
    </row>
    <row r="13" spans="3:4">
      <c r="C13" t="s">
        <v>393</v>
      </c>
      <c r="D13" t="s">
        <v>393</v>
      </c>
    </row>
    <row r="14" spans="3:4">
      <c r="C14" t="s">
        <v>393</v>
      </c>
      <c r="D14" t="s">
        <v>393</v>
      </c>
    </row>
    <row r="15" spans="3:4">
      <c r="C15" t="s">
        <v>393</v>
      </c>
      <c r="D15" t="s">
        <v>393</v>
      </c>
    </row>
    <row r="16" spans="3:4">
      <c r="C16" t="s">
        <v>393</v>
      </c>
      <c r="D16" t="s">
        <v>393</v>
      </c>
    </row>
    <row r="17" spans="3:4">
      <c r="C17" t="s">
        <v>393</v>
      </c>
      <c r="D17" t="s">
        <v>393</v>
      </c>
    </row>
    <row r="18" spans="3:4">
      <c r="C18" t="s">
        <v>393</v>
      </c>
      <c r="D18" t="s">
        <v>393</v>
      </c>
    </row>
    <row r="19" spans="3:4">
      <c r="C19" t="s">
        <v>393</v>
      </c>
      <c r="D19" t="s">
        <v>393</v>
      </c>
    </row>
    <row r="20" spans="3:4">
      <c r="C20" t="s">
        <v>393</v>
      </c>
      <c r="D20" t="s">
        <v>393</v>
      </c>
    </row>
    <row r="21" spans="3:4">
      <c r="C21" t="s">
        <v>393</v>
      </c>
      <c r="D21" t="s">
        <v>393</v>
      </c>
    </row>
    <row r="22" spans="3:4">
      <c r="C22" t="s">
        <v>393</v>
      </c>
      <c r="D22" t="s">
        <v>393</v>
      </c>
    </row>
    <row r="23" spans="3:4">
      <c r="C23" t="s">
        <v>393</v>
      </c>
      <c r="D23" t="s">
        <v>393</v>
      </c>
    </row>
    <row r="24" spans="3:4">
      <c r="C24" t="s">
        <v>393</v>
      </c>
      <c r="D24" t="s">
        <v>393</v>
      </c>
    </row>
    <row r="25" spans="3:4">
      <c r="C25" t="s">
        <v>393</v>
      </c>
      <c r="D25" t="s">
        <v>393</v>
      </c>
    </row>
    <row r="26" spans="3:4">
      <c r="C26" t="s">
        <v>393</v>
      </c>
      <c r="D26" t="s">
        <v>393</v>
      </c>
    </row>
    <row r="27" spans="3:4">
      <c r="C27" t="s">
        <v>393</v>
      </c>
      <c r="D27" t="s">
        <v>393</v>
      </c>
    </row>
    <row r="28" spans="3:4">
      <c r="C28" t="s">
        <v>393</v>
      </c>
      <c r="D28" t="s">
        <v>393</v>
      </c>
    </row>
    <row r="29" spans="3:4">
      <c r="C29" t="s">
        <v>393</v>
      </c>
      <c r="D29" t="s">
        <v>393</v>
      </c>
    </row>
    <row r="30" spans="3:4">
      <c r="C30" t="s">
        <v>393</v>
      </c>
      <c r="D30" t="s">
        <v>393</v>
      </c>
    </row>
    <row r="31" spans="3:4">
      <c r="C31" t="s">
        <v>393</v>
      </c>
      <c r="D31" t="s">
        <v>393</v>
      </c>
    </row>
    <row r="32" spans="3:4">
      <c r="C32" t="s">
        <v>393</v>
      </c>
      <c r="D32" t="s">
        <v>393</v>
      </c>
    </row>
    <row r="33" spans="3:4">
      <c r="C33" t="s">
        <v>393</v>
      </c>
      <c r="D33" t="s">
        <v>393</v>
      </c>
    </row>
    <row r="34" spans="3:4">
      <c r="C34" t="s">
        <v>393</v>
      </c>
      <c r="D34" t="s">
        <v>393</v>
      </c>
    </row>
    <row r="35" spans="3:4">
      <c r="C35" t="s">
        <v>393</v>
      </c>
      <c r="D35" t="s">
        <v>393</v>
      </c>
    </row>
    <row r="36" spans="3:4">
      <c r="C36" t="s">
        <v>393</v>
      </c>
      <c r="D36" t="s">
        <v>393</v>
      </c>
    </row>
    <row r="37" spans="3:4">
      <c r="C37" t="s">
        <v>393</v>
      </c>
      <c r="D37" t="s">
        <v>393</v>
      </c>
    </row>
    <row r="38" spans="3:4">
      <c r="C38" t="s">
        <v>393</v>
      </c>
      <c r="D38" t="s">
        <v>393</v>
      </c>
    </row>
    <row r="39" spans="3:4">
      <c r="C39" t="s">
        <v>393</v>
      </c>
      <c r="D39" t="s">
        <v>393</v>
      </c>
    </row>
    <row r="40" spans="3:4">
      <c r="C40" t="s">
        <v>393</v>
      </c>
      <c r="D40" t="s">
        <v>393</v>
      </c>
    </row>
    <row r="41" spans="3:4">
      <c r="C41" t="s">
        <v>393</v>
      </c>
      <c r="D41" t="s">
        <v>393</v>
      </c>
    </row>
    <row r="42" spans="3:4">
      <c r="C42" t="s">
        <v>393</v>
      </c>
      <c r="D42" t="s">
        <v>393</v>
      </c>
    </row>
    <row r="43" spans="3:4">
      <c r="C43" t="s">
        <v>393</v>
      </c>
      <c r="D43" t="s">
        <v>393</v>
      </c>
    </row>
    <row r="44" spans="3:4">
      <c r="C44" t="s">
        <v>393</v>
      </c>
      <c r="D44" t="s">
        <v>393</v>
      </c>
    </row>
    <row r="45" spans="3:4">
      <c r="C45" t="s">
        <v>393</v>
      </c>
      <c r="D45" t="s">
        <v>393</v>
      </c>
    </row>
    <row r="46" spans="3:4">
      <c r="C46" t="s">
        <v>393</v>
      </c>
      <c r="D46" t="s">
        <v>393</v>
      </c>
    </row>
    <row r="47" spans="3:4">
      <c r="C47" t="s">
        <v>393</v>
      </c>
      <c r="D47" t="s">
        <v>393</v>
      </c>
    </row>
    <row r="48" spans="3:4">
      <c r="C48" t="s">
        <v>393</v>
      </c>
      <c r="D48" t="s">
        <v>393</v>
      </c>
    </row>
    <row r="49" spans="3:4">
      <c r="C49" t="s">
        <v>393</v>
      </c>
      <c r="D49" t="s">
        <v>393</v>
      </c>
    </row>
    <row r="50" spans="3:4">
      <c r="C50" t="s">
        <v>393</v>
      </c>
      <c r="D50" t="s">
        <v>393</v>
      </c>
    </row>
    <row r="51" spans="3:4">
      <c r="C51" t="s">
        <v>393</v>
      </c>
      <c r="D51" t="s">
        <v>393</v>
      </c>
    </row>
    <row r="52" spans="3:4">
      <c r="C52" t="s">
        <v>393</v>
      </c>
      <c r="D52" t="s">
        <v>393</v>
      </c>
    </row>
    <row r="53" spans="3:4">
      <c r="C53" t="s">
        <v>393</v>
      </c>
      <c r="D53" t="s">
        <v>393</v>
      </c>
    </row>
    <row r="54" spans="3:4">
      <c r="C54" t="s">
        <v>393</v>
      </c>
      <c r="D54" t="s">
        <v>393</v>
      </c>
    </row>
    <row r="55" spans="3:4">
      <c r="C55" t="s">
        <v>393</v>
      </c>
      <c r="D55" t="s">
        <v>393</v>
      </c>
    </row>
    <row r="56" spans="3:4">
      <c r="C56" t="s">
        <v>393</v>
      </c>
      <c r="D56" t="s">
        <v>393</v>
      </c>
    </row>
    <row r="57" spans="3:4">
      <c r="C57" t="s">
        <v>393</v>
      </c>
      <c r="D57" t="s">
        <v>393</v>
      </c>
    </row>
    <row r="58" spans="3:4">
      <c r="C58" t="s">
        <v>393</v>
      </c>
      <c r="D58" t="s">
        <v>393</v>
      </c>
    </row>
    <row r="59" spans="3:4">
      <c r="C59" t="s">
        <v>393</v>
      </c>
      <c r="D59" t="s">
        <v>393</v>
      </c>
    </row>
    <row r="60" spans="3:4">
      <c r="C60" t="s">
        <v>393</v>
      </c>
      <c r="D60" t="s">
        <v>393</v>
      </c>
    </row>
    <row r="61" spans="3:4">
      <c r="C61" t="s">
        <v>393</v>
      </c>
      <c r="D61" t="s">
        <v>393</v>
      </c>
    </row>
    <row r="62" spans="3:4">
      <c r="C62" t="s">
        <v>393</v>
      </c>
      <c r="D62" t="s">
        <v>393</v>
      </c>
    </row>
    <row r="63" spans="3:4">
      <c r="C63" t="s">
        <v>393</v>
      </c>
      <c r="D63" t="s">
        <v>393</v>
      </c>
    </row>
    <row r="64" spans="3:4">
      <c r="C64" t="s">
        <v>393</v>
      </c>
      <c r="D64" t="s">
        <v>393</v>
      </c>
    </row>
    <row r="65" spans="3:4">
      <c r="C65" t="s">
        <v>393</v>
      </c>
      <c r="D65" t="s">
        <v>393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391</v>
      </c>
      <c r="D7" t="s">
        <v>391</v>
      </c>
    </row>
    <row r="8" spans="3:4">
      <c r="C8" t="s">
        <v>391</v>
      </c>
      <c r="D8" t="s">
        <v>391</v>
      </c>
    </row>
    <row r="9" spans="3:4">
      <c r="C9" t="s">
        <v>391</v>
      </c>
      <c r="D9" t="s">
        <v>391</v>
      </c>
    </row>
    <row r="10" spans="3:4">
      <c r="C10" t="s">
        <v>391</v>
      </c>
      <c r="D10" t="s">
        <v>391</v>
      </c>
    </row>
    <row r="11" spans="3:4">
      <c r="C11" t="s">
        <v>391</v>
      </c>
      <c r="D11" t="s">
        <v>391</v>
      </c>
    </row>
    <row r="12" spans="3:4">
      <c r="C12" t="s">
        <v>391</v>
      </c>
      <c r="D12" t="s">
        <v>391</v>
      </c>
    </row>
    <row r="13" spans="3:4">
      <c r="C13" t="s">
        <v>391</v>
      </c>
      <c r="D13" t="s">
        <v>391</v>
      </c>
    </row>
    <row r="14" spans="3:4">
      <c r="C14" t="s">
        <v>391</v>
      </c>
      <c r="D14" t="s">
        <v>391</v>
      </c>
    </row>
    <row r="15" spans="3:4">
      <c r="C15" t="s">
        <v>391</v>
      </c>
      <c r="D15" t="s">
        <v>391</v>
      </c>
    </row>
    <row r="16" spans="3:4">
      <c r="C16" t="s">
        <v>391</v>
      </c>
      <c r="D16" t="s">
        <v>391</v>
      </c>
    </row>
    <row r="17" spans="3:4">
      <c r="C17" t="s">
        <v>391</v>
      </c>
      <c r="D17" t="s">
        <v>391</v>
      </c>
    </row>
    <row r="18" spans="3:4">
      <c r="C18" t="s">
        <v>391</v>
      </c>
      <c r="D18" t="s">
        <v>391</v>
      </c>
    </row>
    <row r="19" spans="3:4">
      <c r="C19" t="s">
        <v>391</v>
      </c>
      <c r="D19" t="s">
        <v>391</v>
      </c>
    </row>
    <row r="20" spans="3:4">
      <c r="C20" t="s">
        <v>391</v>
      </c>
      <c r="D20" t="s">
        <v>391</v>
      </c>
    </row>
    <row r="21" spans="3:4">
      <c r="C21" t="s">
        <v>391</v>
      </c>
      <c r="D21" t="s">
        <v>391</v>
      </c>
    </row>
    <row r="22" spans="3:4">
      <c r="C22" t="s">
        <v>391</v>
      </c>
      <c r="D22" t="s">
        <v>391</v>
      </c>
    </row>
    <row r="23" spans="3:4">
      <c r="C23" t="s">
        <v>391</v>
      </c>
      <c r="D23" t="s">
        <v>391</v>
      </c>
    </row>
    <row r="24" spans="3:4">
      <c r="C24" t="s">
        <v>391</v>
      </c>
      <c r="D24" t="s">
        <v>391</v>
      </c>
    </row>
    <row r="25" spans="3:4">
      <c r="C25" t="s">
        <v>391</v>
      </c>
      <c r="D25" t="s">
        <v>391</v>
      </c>
    </row>
    <row r="26" spans="3:4">
      <c r="C26" t="s">
        <v>391</v>
      </c>
      <c r="D26" t="s">
        <v>391</v>
      </c>
    </row>
    <row r="27" spans="3:4">
      <c r="C27" t="s">
        <v>391</v>
      </c>
      <c r="D27" t="s">
        <v>391</v>
      </c>
    </row>
    <row r="28" spans="3:4">
      <c r="C28" t="s">
        <v>391</v>
      </c>
      <c r="D28" t="s">
        <v>391</v>
      </c>
    </row>
    <row r="29" spans="3:4">
      <c r="C29" t="s">
        <v>391</v>
      </c>
      <c r="D29" t="s">
        <v>391</v>
      </c>
    </row>
    <row r="30" spans="3:4">
      <c r="C30" t="s">
        <v>391</v>
      </c>
      <c r="D30" t="s">
        <v>391</v>
      </c>
    </row>
    <row r="31" spans="3:4">
      <c r="C31" t="s">
        <v>391</v>
      </c>
      <c r="D31" t="s">
        <v>391</v>
      </c>
    </row>
    <row r="32" spans="3:4">
      <c r="C32" t="s">
        <v>391</v>
      </c>
      <c r="D32" t="s">
        <v>391</v>
      </c>
    </row>
    <row r="33" spans="3:4">
      <c r="C33" t="s">
        <v>391</v>
      </c>
      <c r="D33" t="s">
        <v>391</v>
      </c>
    </row>
    <row r="34" spans="3:4">
      <c r="C34" t="s">
        <v>391</v>
      </c>
      <c r="D34" t="s">
        <v>391</v>
      </c>
    </row>
    <row r="35" spans="3:4">
      <c r="C35" t="s">
        <v>391</v>
      </c>
      <c r="D35" t="s">
        <v>391</v>
      </c>
    </row>
    <row r="36" spans="3:4">
      <c r="C36" t="s">
        <v>391</v>
      </c>
      <c r="D36" t="s">
        <v>391</v>
      </c>
    </row>
    <row r="37" spans="3:4">
      <c r="C37" t="s">
        <v>391</v>
      </c>
      <c r="D37" t="s">
        <v>391</v>
      </c>
    </row>
    <row r="38" spans="3:4">
      <c r="C38" t="s">
        <v>391</v>
      </c>
      <c r="D38" t="s">
        <v>391</v>
      </c>
    </row>
    <row r="39" spans="3:4">
      <c r="C39" t="s">
        <v>391</v>
      </c>
      <c r="D39" t="s">
        <v>391</v>
      </c>
    </row>
    <row r="40" spans="3:4">
      <c r="C40" t="s">
        <v>391</v>
      </c>
      <c r="D40" t="s">
        <v>391</v>
      </c>
    </row>
    <row r="41" spans="3:4">
      <c r="C41" t="s">
        <v>391</v>
      </c>
      <c r="D41" t="s">
        <v>391</v>
      </c>
    </row>
    <row r="42" spans="3:4">
      <c r="C42" t="s">
        <v>391</v>
      </c>
      <c r="D42" t="s">
        <v>391</v>
      </c>
    </row>
    <row r="43" spans="3:4">
      <c r="C43" t="s">
        <v>391</v>
      </c>
      <c r="D43" t="s">
        <v>391</v>
      </c>
    </row>
    <row r="44" spans="3:4">
      <c r="C44" t="s">
        <v>391</v>
      </c>
      <c r="D44" t="s">
        <v>391</v>
      </c>
    </row>
    <row r="45" spans="3:4">
      <c r="C45" t="s">
        <v>391</v>
      </c>
      <c r="D45" t="s">
        <v>391</v>
      </c>
    </row>
    <row r="46" spans="3:4">
      <c r="C46" t="s">
        <v>391</v>
      </c>
      <c r="D46" t="s">
        <v>391</v>
      </c>
    </row>
    <row r="47" spans="3:4">
      <c r="C47" t="s">
        <v>391</v>
      </c>
      <c r="D47" t="s">
        <v>391</v>
      </c>
    </row>
    <row r="48" spans="3:4">
      <c r="C48" t="s">
        <v>391</v>
      </c>
      <c r="D48" t="s">
        <v>391</v>
      </c>
    </row>
    <row r="49" spans="3:4">
      <c r="C49" t="s">
        <v>391</v>
      </c>
      <c r="D49" t="s">
        <v>391</v>
      </c>
    </row>
    <row r="50" spans="3:4">
      <c r="C50" t="s">
        <v>391</v>
      </c>
      <c r="D50" t="s">
        <v>391</v>
      </c>
    </row>
    <row r="51" spans="3:4">
      <c r="C51" t="s">
        <v>391</v>
      </c>
      <c r="D51" t="s">
        <v>391</v>
      </c>
    </row>
    <row r="52" spans="3:4">
      <c r="C52" t="s">
        <v>391</v>
      </c>
      <c r="D52" t="s">
        <v>391</v>
      </c>
    </row>
    <row r="53" spans="3:4">
      <c r="C53" t="s">
        <v>391</v>
      </c>
      <c r="D53" t="s">
        <v>391</v>
      </c>
    </row>
    <row r="54" spans="3:4">
      <c r="C54" t="s">
        <v>391</v>
      </c>
      <c r="D54" t="s">
        <v>391</v>
      </c>
    </row>
    <row r="55" spans="3:4">
      <c r="C55" t="s">
        <v>391</v>
      </c>
      <c r="D55" t="s">
        <v>391</v>
      </c>
    </row>
    <row r="56" spans="3:4">
      <c r="C56" t="s">
        <v>391</v>
      </c>
      <c r="D56" t="s">
        <v>391</v>
      </c>
    </row>
    <row r="57" spans="3:4">
      <c r="C57" t="s">
        <v>391</v>
      </c>
      <c r="D57" t="s">
        <v>391</v>
      </c>
    </row>
    <row r="58" spans="3:4">
      <c r="C58" t="s">
        <v>391</v>
      </c>
      <c r="D58" t="s">
        <v>391</v>
      </c>
    </row>
    <row r="59" spans="3:4">
      <c r="C59" t="s">
        <v>391</v>
      </c>
      <c r="D59" t="s">
        <v>391</v>
      </c>
    </row>
    <row r="60" spans="3:4">
      <c r="C60" t="s">
        <v>391</v>
      </c>
      <c r="D60" t="s">
        <v>391</v>
      </c>
    </row>
    <row r="61" spans="3:4">
      <c r="C61" t="s">
        <v>391</v>
      </c>
      <c r="D61" t="s">
        <v>391</v>
      </c>
    </row>
    <row r="62" spans="3:4">
      <c r="C62" t="s">
        <v>391</v>
      </c>
      <c r="D62" t="s">
        <v>391</v>
      </c>
    </row>
    <row r="63" spans="3:4">
      <c r="C63" t="s">
        <v>391</v>
      </c>
      <c r="D63" t="s">
        <v>391</v>
      </c>
    </row>
    <row r="64" spans="3:4">
      <c r="C64" t="s">
        <v>391</v>
      </c>
      <c r="D64" t="s">
        <v>391</v>
      </c>
    </row>
    <row r="65" spans="3:4">
      <c r="C65" t="s">
        <v>391</v>
      </c>
      <c r="D65" t="s">
        <v>391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E39" sqref="E39"/>
    </sheetView>
  </sheetViews>
  <sheetFormatPr defaultColWidth="11.7109375" defaultRowHeight="15"/>
  <cols>
    <col min="1" max="1" width="60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224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4871378.22</v>
      </c>
      <c r="D8" s="11">
        <f>D9+D11+D14+D15</f>
        <v>4718809.08</v>
      </c>
    </row>
    <row r="9" spans="1:4" ht="30">
      <c r="A9" s="12" t="s">
        <v>90</v>
      </c>
      <c r="B9" s="13" t="s">
        <v>91</v>
      </c>
      <c r="C9" s="14">
        <f>4305473.34</f>
        <v>4305473.34</v>
      </c>
      <c r="D9" s="15">
        <v>4283824.21</v>
      </c>
    </row>
    <row r="10" spans="1:4">
      <c r="A10" s="16" t="s">
        <v>92</v>
      </c>
      <c r="B10" s="17" t="s">
        <v>93</v>
      </c>
      <c r="C10" s="18">
        <f>2787688.89400922</f>
        <v>2787688.8940092199</v>
      </c>
      <c r="D10" s="19">
        <f>_19h_E12</f>
        <v>2787688.8940092199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565904.88</v>
      </c>
      <c r="D15" s="15">
        <f>SUM(D16:D24)</f>
        <v>434984.87</v>
      </c>
    </row>
    <row r="16" spans="1:4">
      <c r="A16" s="22" t="s">
        <v>103</v>
      </c>
      <c r="B16" s="17" t="s">
        <v>104</v>
      </c>
      <c r="C16" s="111">
        <v>408040.2</v>
      </c>
      <c r="D16" s="113">
        <v>247421.87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117143.52</f>
        <v>117143.52</v>
      </c>
      <c r="D18" s="19">
        <f>146848.45</f>
        <v>146848.45000000001</v>
      </c>
    </row>
    <row r="19" spans="1:4">
      <c r="A19" s="22" t="s">
        <v>109</v>
      </c>
      <c r="B19" s="17" t="s">
        <v>110</v>
      </c>
      <c r="C19" s="18">
        <f>0</f>
        <v>0</v>
      </c>
      <c r="D19" s="19">
        <f>0</f>
        <v>0</v>
      </c>
    </row>
    <row r="20" spans="1:4">
      <c r="A20" s="22" t="s">
        <v>111</v>
      </c>
      <c r="B20" s="17" t="s">
        <v>112</v>
      </c>
      <c r="C20" s="18">
        <f>14926.36</f>
        <v>14926.36</v>
      </c>
      <c r="D20" s="19">
        <f>14919.75</f>
        <v>14919.75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25794.8</f>
        <v>25794.799999999999</v>
      </c>
      <c r="D23" s="19">
        <f>25794.8</f>
        <v>25794.799999999999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1580798.580000008</v>
      </c>
      <c r="D25" s="15">
        <f>D26+D27+D30+D28+D29+D31</f>
        <v>1152096.96</v>
      </c>
    </row>
    <row r="26" spans="1:4" ht="18" customHeight="1">
      <c r="A26" s="24" t="s">
        <v>123</v>
      </c>
      <c r="B26" s="20" t="s">
        <v>124</v>
      </c>
      <c r="C26" s="18">
        <f>629235</f>
        <v>629235</v>
      </c>
      <c r="D26" s="19">
        <f>628885.43</f>
        <v>628885.43000000005</v>
      </c>
    </row>
    <row r="27" spans="1:4" ht="32.25" customHeight="1">
      <c r="A27" s="24" t="s">
        <v>125</v>
      </c>
      <c r="B27" s="20" t="s">
        <v>126</v>
      </c>
      <c r="C27" s="18">
        <f>77148.6</f>
        <v>77148.600000000006</v>
      </c>
      <c r="D27" s="19">
        <f>77118.41</f>
        <v>77118.41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76108.32</f>
        <v>76108.320000000007</v>
      </c>
      <c r="D29" s="19">
        <f>75443</f>
        <v>75443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798306.66000000807</v>
      </c>
      <c r="D31" s="15">
        <f>SUM(D32:D39)</f>
        <v>370650.12</v>
      </c>
    </row>
    <row r="32" spans="1:4" ht="20.25" customHeight="1">
      <c r="A32" s="24" t="s">
        <v>135</v>
      </c>
      <c r="B32" s="17" t="s">
        <v>136</v>
      </c>
      <c r="C32" s="18">
        <f>114867.79</f>
        <v>114867.79</v>
      </c>
      <c r="D32" s="19">
        <f>114867.84</f>
        <v>114867.84</v>
      </c>
    </row>
    <row r="33" spans="1:4">
      <c r="A33" s="24" t="s">
        <v>137</v>
      </c>
      <c r="B33" s="17" t="s">
        <v>138</v>
      </c>
      <c r="C33" s="18">
        <f>104699.04</f>
        <v>104699.04</v>
      </c>
      <c r="D33" s="19">
        <f>86579.55</f>
        <v>86579.55</v>
      </c>
    </row>
    <row r="34" spans="1:4">
      <c r="A34" s="24" t="s">
        <v>139</v>
      </c>
      <c r="B34" s="17" t="s">
        <v>140</v>
      </c>
      <c r="C34" s="18">
        <f>167254.92</f>
        <v>167254.92000000001</v>
      </c>
      <c r="D34" s="19">
        <f>169202.73</f>
        <v>169202.73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411484.910000008</f>
        <v>411484.91000000801</v>
      </c>
      <c r="D39" s="19">
        <v>0</v>
      </c>
    </row>
    <row r="40" spans="1:4" ht="24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53910.600000000006</v>
      </c>
      <c r="D45" s="27">
        <f>SUM(D46:D48)</f>
        <v>490415.61999999994</v>
      </c>
    </row>
    <row r="46" spans="1:4">
      <c r="A46" s="21" t="s">
        <v>163</v>
      </c>
      <c r="B46" s="17" t="s">
        <v>164</v>
      </c>
      <c r="C46" s="18">
        <f>44104.8</f>
        <v>44104.800000000003</v>
      </c>
      <c r="D46" s="19">
        <f>48862.28</f>
        <v>48862.28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431747.54</v>
      </c>
    </row>
    <row r="48" spans="1:4">
      <c r="A48" s="21" t="s">
        <v>166</v>
      </c>
      <c r="B48" s="17" t="s">
        <v>167</v>
      </c>
      <c r="C48" s="18">
        <f>9805.8</f>
        <v>9805.7999999999993</v>
      </c>
      <c r="D48" s="19">
        <f>9805.8</f>
        <v>9805.7999999999993</v>
      </c>
    </row>
    <row r="49" spans="1:4">
      <c r="A49" s="8" t="s">
        <v>440</v>
      </c>
      <c r="B49" s="28" t="s">
        <v>168</v>
      </c>
      <c r="C49" s="29">
        <f>514476.6</f>
        <v>514476.6</v>
      </c>
      <c r="D49" s="30">
        <f>659242.34</f>
        <v>659242.34</v>
      </c>
    </row>
    <row r="50" spans="1:4">
      <c r="A50" s="8" t="s">
        <v>169</v>
      </c>
      <c r="B50" s="9" t="s">
        <v>170</v>
      </c>
      <c r="C50" s="14">
        <f>C8+C25+C40+C41+C42+C43+C44+C45+C49+C51+C52</f>
        <v>7020564.0000000075</v>
      </c>
      <c r="D50" s="15">
        <f>D8+D25+D40+D41+D42+D43+D44+D45+D49+D51+D52</f>
        <v>7020564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4004186.76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3922669.8</f>
        <v>3922669.8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81516.96</f>
        <v>81516.960000000006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2153478</f>
        <v>2153478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6157664.7599999998</v>
      </c>
      <c r="D59" s="27">
        <f>D54+D57+D58</f>
        <v>0</v>
      </c>
    </row>
    <row r="60" spans="1:4" ht="25.5">
      <c r="A60" s="33" t="s">
        <v>188</v>
      </c>
      <c r="B60" s="9"/>
      <c r="C60" s="34">
        <v>26060</v>
      </c>
      <c r="D60" s="35">
        <v>26060</v>
      </c>
    </row>
    <row r="61" spans="1:4" ht="15.75" thickBot="1">
      <c r="A61" s="36" t="s">
        <v>189</v>
      </c>
      <c r="B61" s="37"/>
      <c r="C61" s="38">
        <f>(C50+C51+C52)/C60/12</f>
        <v>22.450000000000021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389</v>
      </c>
      <c r="D7" t="s">
        <v>389</v>
      </c>
    </row>
    <row r="8" spans="3:4">
      <c r="C8" t="s">
        <v>389</v>
      </c>
      <c r="D8" t="s">
        <v>389</v>
      </c>
    </row>
    <row r="9" spans="3:4">
      <c r="C9" t="s">
        <v>389</v>
      </c>
      <c r="D9" t="s">
        <v>389</v>
      </c>
    </row>
    <row r="10" spans="3:4">
      <c r="C10" t="s">
        <v>389</v>
      </c>
      <c r="D10" t="s">
        <v>389</v>
      </c>
    </row>
    <row r="11" spans="3:4">
      <c r="C11" t="s">
        <v>389</v>
      </c>
      <c r="D11" t="s">
        <v>389</v>
      </c>
    </row>
    <row r="12" spans="3:4">
      <c r="C12" t="s">
        <v>389</v>
      </c>
      <c r="D12" t="s">
        <v>389</v>
      </c>
    </row>
    <row r="13" spans="3:4">
      <c r="C13" t="s">
        <v>389</v>
      </c>
      <c r="D13" t="s">
        <v>389</v>
      </c>
    </row>
    <row r="14" spans="3:4">
      <c r="C14" t="s">
        <v>389</v>
      </c>
      <c r="D14" t="s">
        <v>389</v>
      </c>
    </row>
    <row r="15" spans="3:4">
      <c r="C15" t="s">
        <v>389</v>
      </c>
      <c r="D15" t="s">
        <v>389</v>
      </c>
    </row>
    <row r="16" spans="3:4">
      <c r="C16" t="s">
        <v>389</v>
      </c>
      <c r="D16" t="s">
        <v>389</v>
      </c>
    </row>
    <row r="17" spans="3:4">
      <c r="C17" t="s">
        <v>389</v>
      </c>
      <c r="D17" t="s">
        <v>389</v>
      </c>
    </row>
    <row r="18" spans="3:4">
      <c r="C18" t="s">
        <v>389</v>
      </c>
      <c r="D18" t="s">
        <v>389</v>
      </c>
    </row>
    <row r="19" spans="3:4">
      <c r="C19" t="s">
        <v>389</v>
      </c>
      <c r="D19" t="s">
        <v>389</v>
      </c>
    </row>
    <row r="20" spans="3:4">
      <c r="C20" t="s">
        <v>389</v>
      </c>
      <c r="D20" t="s">
        <v>389</v>
      </c>
    </row>
    <row r="21" spans="3:4">
      <c r="C21" t="s">
        <v>389</v>
      </c>
      <c r="D21" t="s">
        <v>389</v>
      </c>
    </row>
    <row r="22" spans="3:4">
      <c r="C22" t="s">
        <v>389</v>
      </c>
      <c r="D22" t="s">
        <v>389</v>
      </c>
    </row>
    <row r="23" spans="3:4">
      <c r="C23" t="s">
        <v>389</v>
      </c>
      <c r="D23" t="s">
        <v>389</v>
      </c>
    </row>
    <row r="24" spans="3:4">
      <c r="C24" t="s">
        <v>389</v>
      </c>
      <c r="D24" t="s">
        <v>389</v>
      </c>
    </row>
    <row r="25" spans="3:4">
      <c r="C25" t="s">
        <v>389</v>
      </c>
      <c r="D25" t="s">
        <v>389</v>
      </c>
    </row>
    <row r="26" spans="3:4">
      <c r="C26" t="s">
        <v>389</v>
      </c>
      <c r="D26" t="s">
        <v>389</v>
      </c>
    </row>
    <row r="27" spans="3:4">
      <c r="C27" t="s">
        <v>389</v>
      </c>
      <c r="D27" t="s">
        <v>389</v>
      </c>
    </row>
    <row r="28" spans="3:4">
      <c r="C28" t="s">
        <v>389</v>
      </c>
      <c r="D28" t="s">
        <v>389</v>
      </c>
    </row>
    <row r="29" spans="3:4">
      <c r="C29" t="s">
        <v>389</v>
      </c>
      <c r="D29" t="s">
        <v>389</v>
      </c>
    </row>
    <row r="30" spans="3:4">
      <c r="C30" t="s">
        <v>389</v>
      </c>
      <c r="D30" t="s">
        <v>389</v>
      </c>
    </row>
    <row r="31" spans="3:4">
      <c r="C31" t="s">
        <v>389</v>
      </c>
      <c r="D31" t="s">
        <v>389</v>
      </c>
    </row>
    <row r="32" spans="3:4">
      <c r="C32" t="s">
        <v>389</v>
      </c>
      <c r="D32" t="s">
        <v>389</v>
      </c>
    </row>
    <row r="33" spans="3:4">
      <c r="C33" t="s">
        <v>389</v>
      </c>
      <c r="D33" t="s">
        <v>389</v>
      </c>
    </row>
    <row r="34" spans="3:4">
      <c r="C34" t="s">
        <v>389</v>
      </c>
      <c r="D34" t="s">
        <v>389</v>
      </c>
    </row>
    <row r="35" spans="3:4">
      <c r="C35" t="s">
        <v>389</v>
      </c>
      <c r="D35" t="s">
        <v>389</v>
      </c>
    </row>
    <row r="36" spans="3:4">
      <c r="C36" t="s">
        <v>389</v>
      </c>
      <c r="D36" t="s">
        <v>389</v>
      </c>
    </row>
    <row r="37" spans="3:4">
      <c r="C37" t="s">
        <v>389</v>
      </c>
      <c r="D37" t="s">
        <v>389</v>
      </c>
    </row>
    <row r="38" spans="3:4">
      <c r="C38" t="s">
        <v>389</v>
      </c>
      <c r="D38" t="s">
        <v>389</v>
      </c>
    </row>
    <row r="39" spans="3:4">
      <c r="C39" t="s">
        <v>389</v>
      </c>
      <c r="D39" t="s">
        <v>389</v>
      </c>
    </row>
    <row r="40" spans="3:4">
      <c r="C40" t="s">
        <v>389</v>
      </c>
      <c r="D40" t="s">
        <v>389</v>
      </c>
    </row>
    <row r="41" spans="3:4">
      <c r="C41" t="s">
        <v>389</v>
      </c>
      <c r="D41" t="s">
        <v>389</v>
      </c>
    </row>
    <row r="42" spans="3:4">
      <c r="C42" t="s">
        <v>389</v>
      </c>
      <c r="D42" t="s">
        <v>389</v>
      </c>
    </row>
    <row r="43" spans="3:4">
      <c r="C43" t="s">
        <v>389</v>
      </c>
      <c r="D43" t="s">
        <v>389</v>
      </c>
    </row>
    <row r="44" spans="3:4">
      <c r="C44" t="s">
        <v>389</v>
      </c>
      <c r="D44" t="s">
        <v>389</v>
      </c>
    </row>
    <row r="45" spans="3:4">
      <c r="C45" t="s">
        <v>389</v>
      </c>
      <c r="D45" t="s">
        <v>389</v>
      </c>
    </row>
    <row r="46" spans="3:4">
      <c r="C46" t="s">
        <v>389</v>
      </c>
      <c r="D46" t="s">
        <v>389</v>
      </c>
    </row>
    <row r="47" spans="3:4">
      <c r="C47" t="s">
        <v>389</v>
      </c>
      <c r="D47" t="s">
        <v>389</v>
      </c>
    </row>
    <row r="48" spans="3:4">
      <c r="C48" t="s">
        <v>389</v>
      </c>
      <c r="D48" t="s">
        <v>389</v>
      </c>
    </row>
    <row r="49" spans="3:4">
      <c r="C49" t="s">
        <v>389</v>
      </c>
      <c r="D49" t="s">
        <v>389</v>
      </c>
    </row>
    <row r="50" spans="3:4">
      <c r="C50" t="s">
        <v>389</v>
      </c>
      <c r="D50" t="s">
        <v>389</v>
      </c>
    </row>
    <row r="51" spans="3:4">
      <c r="C51" t="s">
        <v>389</v>
      </c>
      <c r="D51" t="s">
        <v>389</v>
      </c>
    </row>
    <row r="52" spans="3:4">
      <c r="C52" t="s">
        <v>389</v>
      </c>
      <c r="D52" t="s">
        <v>389</v>
      </c>
    </row>
    <row r="53" spans="3:4">
      <c r="C53" t="s">
        <v>389</v>
      </c>
      <c r="D53" t="s">
        <v>389</v>
      </c>
    </row>
    <row r="54" spans="3:4">
      <c r="C54" t="s">
        <v>389</v>
      </c>
      <c r="D54" t="s">
        <v>389</v>
      </c>
    </row>
    <row r="55" spans="3:4">
      <c r="C55" t="s">
        <v>389</v>
      </c>
      <c r="D55" t="s">
        <v>389</v>
      </c>
    </row>
    <row r="56" spans="3:4">
      <c r="C56" t="s">
        <v>389</v>
      </c>
      <c r="D56" t="s">
        <v>389</v>
      </c>
    </row>
    <row r="57" spans="3:4">
      <c r="C57" t="s">
        <v>389</v>
      </c>
      <c r="D57" t="s">
        <v>389</v>
      </c>
    </row>
    <row r="58" spans="3:4">
      <c r="C58" t="s">
        <v>389</v>
      </c>
      <c r="D58" t="s">
        <v>389</v>
      </c>
    </row>
    <row r="59" spans="3:4">
      <c r="C59" t="s">
        <v>389</v>
      </c>
      <c r="D59" t="s">
        <v>389</v>
      </c>
    </row>
    <row r="60" spans="3:4">
      <c r="C60" t="s">
        <v>389</v>
      </c>
      <c r="D60" t="s">
        <v>389</v>
      </c>
    </row>
    <row r="61" spans="3:4">
      <c r="C61" t="s">
        <v>389</v>
      </c>
      <c r="D61" t="s">
        <v>389</v>
      </c>
    </row>
    <row r="62" spans="3:4">
      <c r="C62" t="s">
        <v>389</v>
      </c>
      <c r="D62" t="s">
        <v>389</v>
      </c>
    </row>
    <row r="63" spans="3:4">
      <c r="C63" t="s">
        <v>389</v>
      </c>
      <c r="D63" t="s">
        <v>389</v>
      </c>
    </row>
    <row r="64" spans="3:4">
      <c r="C64" t="s">
        <v>389</v>
      </c>
      <c r="D64" t="s">
        <v>389</v>
      </c>
    </row>
    <row r="65" spans="3:4">
      <c r="C65" t="s">
        <v>389</v>
      </c>
      <c r="D65" t="s">
        <v>389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387</v>
      </c>
      <c r="D7" t="s">
        <v>387</v>
      </c>
    </row>
    <row r="8" spans="3:4">
      <c r="C8" t="s">
        <v>387</v>
      </c>
      <c r="D8" t="s">
        <v>387</v>
      </c>
    </row>
    <row r="9" spans="3:4">
      <c r="C9" t="s">
        <v>387</v>
      </c>
      <c r="D9" t="s">
        <v>387</v>
      </c>
    </row>
    <row r="10" spans="3:4">
      <c r="C10" t="s">
        <v>387</v>
      </c>
      <c r="D10" t="s">
        <v>387</v>
      </c>
    </row>
    <row r="11" spans="3:4">
      <c r="C11" t="s">
        <v>387</v>
      </c>
      <c r="D11" t="s">
        <v>387</v>
      </c>
    </row>
    <row r="12" spans="3:4">
      <c r="C12" t="s">
        <v>387</v>
      </c>
      <c r="D12" t="s">
        <v>387</v>
      </c>
    </row>
    <row r="13" spans="3:4">
      <c r="C13" t="s">
        <v>387</v>
      </c>
      <c r="D13" t="s">
        <v>387</v>
      </c>
    </row>
    <row r="14" spans="3:4">
      <c r="C14" t="s">
        <v>387</v>
      </c>
      <c r="D14" t="s">
        <v>387</v>
      </c>
    </row>
    <row r="15" spans="3:4">
      <c r="C15" t="s">
        <v>387</v>
      </c>
      <c r="D15" t="s">
        <v>387</v>
      </c>
    </row>
    <row r="16" spans="3:4">
      <c r="C16" t="s">
        <v>387</v>
      </c>
      <c r="D16" t="s">
        <v>387</v>
      </c>
    </row>
    <row r="17" spans="3:4">
      <c r="C17" t="s">
        <v>387</v>
      </c>
      <c r="D17" t="s">
        <v>387</v>
      </c>
    </row>
    <row r="18" spans="3:4">
      <c r="C18" t="s">
        <v>387</v>
      </c>
      <c r="D18" t="s">
        <v>387</v>
      </c>
    </row>
    <row r="19" spans="3:4">
      <c r="C19" t="s">
        <v>387</v>
      </c>
      <c r="D19" t="s">
        <v>387</v>
      </c>
    </row>
    <row r="20" spans="3:4">
      <c r="C20" t="s">
        <v>387</v>
      </c>
      <c r="D20" t="s">
        <v>387</v>
      </c>
    </row>
    <row r="21" spans="3:4">
      <c r="C21" t="s">
        <v>387</v>
      </c>
      <c r="D21" t="s">
        <v>387</v>
      </c>
    </row>
    <row r="22" spans="3:4">
      <c r="C22" t="s">
        <v>387</v>
      </c>
      <c r="D22" t="s">
        <v>387</v>
      </c>
    </row>
    <row r="23" spans="3:4">
      <c r="C23" t="s">
        <v>387</v>
      </c>
      <c r="D23" t="s">
        <v>387</v>
      </c>
    </row>
    <row r="24" spans="3:4">
      <c r="C24" t="s">
        <v>387</v>
      </c>
      <c r="D24" t="s">
        <v>387</v>
      </c>
    </row>
    <row r="25" spans="3:4">
      <c r="C25" t="s">
        <v>387</v>
      </c>
      <c r="D25" t="s">
        <v>387</v>
      </c>
    </row>
    <row r="26" spans="3:4">
      <c r="C26" t="s">
        <v>387</v>
      </c>
      <c r="D26" t="s">
        <v>387</v>
      </c>
    </row>
    <row r="27" spans="3:4">
      <c r="C27" t="s">
        <v>387</v>
      </c>
      <c r="D27" t="s">
        <v>387</v>
      </c>
    </row>
    <row r="28" spans="3:4">
      <c r="C28" t="s">
        <v>387</v>
      </c>
      <c r="D28" t="s">
        <v>387</v>
      </c>
    </row>
    <row r="29" spans="3:4">
      <c r="C29" t="s">
        <v>387</v>
      </c>
      <c r="D29" t="s">
        <v>387</v>
      </c>
    </row>
    <row r="30" spans="3:4">
      <c r="C30" t="s">
        <v>387</v>
      </c>
      <c r="D30" t="s">
        <v>387</v>
      </c>
    </row>
    <row r="31" spans="3:4">
      <c r="C31" t="s">
        <v>387</v>
      </c>
      <c r="D31" t="s">
        <v>387</v>
      </c>
    </row>
    <row r="32" spans="3:4">
      <c r="C32" t="s">
        <v>387</v>
      </c>
      <c r="D32" t="s">
        <v>387</v>
      </c>
    </row>
    <row r="33" spans="3:4">
      <c r="C33" t="s">
        <v>387</v>
      </c>
      <c r="D33" t="s">
        <v>387</v>
      </c>
    </row>
    <row r="34" spans="3:4">
      <c r="C34" t="s">
        <v>387</v>
      </c>
      <c r="D34" t="s">
        <v>387</v>
      </c>
    </row>
    <row r="35" spans="3:4">
      <c r="C35" t="s">
        <v>387</v>
      </c>
      <c r="D35" t="s">
        <v>387</v>
      </c>
    </row>
    <row r="36" spans="3:4">
      <c r="C36" t="s">
        <v>387</v>
      </c>
      <c r="D36" t="s">
        <v>387</v>
      </c>
    </row>
    <row r="37" spans="3:4">
      <c r="C37" t="s">
        <v>387</v>
      </c>
      <c r="D37" t="s">
        <v>387</v>
      </c>
    </row>
    <row r="38" spans="3:4">
      <c r="C38" t="s">
        <v>387</v>
      </c>
      <c r="D38" t="s">
        <v>387</v>
      </c>
    </row>
    <row r="39" spans="3:4">
      <c r="C39" t="s">
        <v>387</v>
      </c>
      <c r="D39" t="s">
        <v>387</v>
      </c>
    </row>
    <row r="40" spans="3:4">
      <c r="C40" t="s">
        <v>387</v>
      </c>
      <c r="D40" t="s">
        <v>387</v>
      </c>
    </row>
    <row r="41" spans="3:4">
      <c r="C41" t="s">
        <v>387</v>
      </c>
      <c r="D41" t="s">
        <v>387</v>
      </c>
    </row>
    <row r="42" spans="3:4">
      <c r="C42" t="s">
        <v>387</v>
      </c>
      <c r="D42" t="s">
        <v>387</v>
      </c>
    </row>
    <row r="43" spans="3:4">
      <c r="C43" t="s">
        <v>387</v>
      </c>
      <c r="D43" t="s">
        <v>387</v>
      </c>
    </row>
    <row r="44" spans="3:4">
      <c r="C44" t="s">
        <v>387</v>
      </c>
      <c r="D44" t="s">
        <v>387</v>
      </c>
    </row>
    <row r="45" spans="3:4">
      <c r="C45" t="s">
        <v>387</v>
      </c>
      <c r="D45" t="s">
        <v>387</v>
      </c>
    </row>
    <row r="46" spans="3:4">
      <c r="C46" t="s">
        <v>387</v>
      </c>
      <c r="D46" t="s">
        <v>387</v>
      </c>
    </row>
    <row r="47" spans="3:4">
      <c r="C47" t="s">
        <v>387</v>
      </c>
      <c r="D47" t="s">
        <v>387</v>
      </c>
    </row>
    <row r="48" spans="3:4">
      <c r="C48" t="s">
        <v>387</v>
      </c>
      <c r="D48" t="s">
        <v>387</v>
      </c>
    </row>
    <row r="49" spans="3:4">
      <c r="C49" t="s">
        <v>387</v>
      </c>
      <c r="D49" t="s">
        <v>387</v>
      </c>
    </row>
    <row r="50" spans="3:4">
      <c r="C50" t="s">
        <v>387</v>
      </c>
      <c r="D50" t="s">
        <v>387</v>
      </c>
    </row>
    <row r="51" spans="3:4">
      <c r="C51" t="s">
        <v>387</v>
      </c>
      <c r="D51" t="s">
        <v>387</v>
      </c>
    </row>
    <row r="52" spans="3:4">
      <c r="C52" t="s">
        <v>387</v>
      </c>
      <c r="D52" t="s">
        <v>387</v>
      </c>
    </row>
    <row r="53" spans="3:4">
      <c r="C53" t="s">
        <v>387</v>
      </c>
      <c r="D53" t="s">
        <v>387</v>
      </c>
    </row>
    <row r="54" spans="3:4">
      <c r="C54" t="s">
        <v>387</v>
      </c>
      <c r="D54" t="s">
        <v>387</v>
      </c>
    </row>
    <row r="55" spans="3:4">
      <c r="C55" t="s">
        <v>387</v>
      </c>
      <c r="D55" t="s">
        <v>387</v>
      </c>
    </row>
    <row r="56" spans="3:4">
      <c r="C56" t="s">
        <v>387</v>
      </c>
      <c r="D56" t="s">
        <v>387</v>
      </c>
    </row>
    <row r="57" spans="3:4">
      <c r="C57" t="s">
        <v>387</v>
      </c>
      <c r="D57" t="s">
        <v>387</v>
      </c>
    </row>
    <row r="58" spans="3:4">
      <c r="C58" t="s">
        <v>387</v>
      </c>
      <c r="D58" t="s">
        <v>387</v>
      </c>
    </row>
    <row r="59" spans="3:4">
      <c r="C59" t="s">
        <v>387</v>
      </c>
      <c r="D59" t="s">
        <v>387</v>
      </c>
    </row>
    <row r="60" spans="3:4">
      <c r="C60" t="s">
        <v>387</v>
      </c>
      <c r="D60" t="s">
        <v>387</v>
      </c>
    </row>
    <row r="61" spans="3:4">
      <c r="C61" t="s">
        <v>387</v>
      </c>
      <c r="D61" t="s">
        <v>387</v>
      </c>
    </row>
    <row r="62" spans="3:4">
      <c r="C62" t="s">
        <v>387</v>
      </c>
      <c r="D62" t="s">
        <v>387</v>
      </c>
    </row>
    <row r="63" spans="3:4">
      <c r="C63" t="s">
        <v>387</v>
      </c>
      <c r="D63" t="s">
        <v>387</v>
      </c>
    </row>
    <row r="64" spans="3:4">
      <c r="C64" t="s">
        <v>387</v>
      </c>
      <c r="D64" t="s">
        <v>387</v>
      </c>
    </row>
    <row r="65" spans="3:4">
      <c r="C65" t="s">
        <v>387</v>
      </c>
      <c r="D65" t="s">
        <v>387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385</v>
      </c>
      <c r="D7" t="s">
        <v>385</v>
      </c>
    </row>
    <row r="8" spans="3:4">
      <c r="C8" t="s">
        <v>385</v>
      </c>
      <c r="D8" t="s">
        <v>385</v>
      </c>
    </row>
    <row r="9" spans="3:4">
      <c r="C9" t="s">
        <v>385</v>
      </c>
      <c r="D9" t="s">
        <v>385</v>
      </c>
    </row>
    <row r="10" spans="3:4">
      <c r="C10" t="s">
        <v>385</v>
      </c>
      <c r="D10" t="s">
        <v>385</v>
      </c>
    </row>
    <row r="11" spans="3:4">
      <c r="C11" t="s">
        <v>385</v>
      </c>
      <c r="D11" t="s">
        <v>385</v>
      </c>
    </row>
    <row r="12" spans="3:4">
      <c r="C12" t="s">
        <v>385</v>
      </c>
      <c r="D12" t="s">
        <v>385</v>
      </c>
    </row>
    <row r="13" spans="3:4">
      <c r="C13" t="s">
        <v>385</v>
      </c>
      <c r="D13" t="s">
        <v>385</v>
      </c>
    </row>
    <row r="14" spans="3:4">
      <c r="C14" t="s">
        <v>385</v>
      </c>
      <c r="D14" t="s">
        <v>385</v>
      </c>
    </row>
    <row r="15" spans="3:4">
      <c r="C15" t="s">
        <v>385</v>
      </c>
      <c r="D15" t="s">
        <v>385</v>
      </c>
    </row>
    <row r="16" spans="3:4">
      <c r="C16" t="s">
        <v>385</v>
      </c>
      <c r="D16" t="s">
        <v>385</v>
      </c>
    </row>
    <row r="17" spans="3:4">
      <c r="C17" t="s">
        <v>385</v>
      </c>
      <c r="D17" t="s">
        <v>385</v>
      </c>
    </row>
    <row r="18" spans="3:4">
      <c r="C18" t="s">
        <v>385</v>
      </c>
      <c r="D18" t="s">
        <v>385</v>
      </c>
    </row>
    <row r="19" spans="3:4">
      <c r="C19" t="s">
        <v>385</v>
      </c>
      <c r="D19" t="s">
        <v>385</v>
      </c>
    </row>
    <row r="20" spans="3:4">
      <c r="C20" t="s">
        <v>385</v>
      </c>
      <c r="D20" t="s">
        <v>385</v>
      </c>
    </row>
    <row r="21" spans="3:4">
      <c r="C21" t="s">
        <v>385</v>
      </c>
      <c r="D21" t="s">
        <v>385</v>
      </c>
    </row>
    <row r="22" spans="3:4">
      <c r="C22" t="s">
        <v>385</v>
      </c>
      <c r="D22" t="s">
        <v>385</v>
      </c>
    </row>
    <row r="23" spans="3:4">
      <c r="C23" t="s">
        <v>385</v>
      </c>
      <c r="D23" t="s">
        <v>385</v>
      </c>
    </row>
    <row r="24" spans="3:4">
      <c r="C24" t="s">
        <v>385</v>
      </c>
      <c r="D24" t="s">
        <v>385</v>
      </c>
    </row>
    <row r="25" spans="3:4">
      <c r="C25" t="s">
        <v>385</v>
      </c>
      <c r="D25" t="s">
        <v>385</v>
      </c>
    </row>
    <row r="26" spans="3:4">
      <c r="C26" t="s">
        <v>385</v>
      </c>
      <c r="D26" t="s">
        <v>385</v>
      </c>
    </row>
    <row r="27" spans="3:4">
      <c r="C27" t="s">
        <v>385</v>
      </c>
      <c r="D27" t="s">
        <v>385</v>
      </c>
    </row>
    <row r="28" spans="3:4">
      <c r="C28" t="s">
        <v>385</v>
      </c>
      <c r="D28" t="s">
        <v>385</v>
      </c>
    </row>
    <row r="29" spans="3:4">
      <c r="C29" t="s">
        <v>385</v>
      </c>
      <c r="D29" t="s">
        <v>385</v>
      </c>
    </row>
    <row r="30" spans="3:4">
      <c r="C30" t="s">
        <v>385</v>
      </c>
      <c r="D30" t="s">
        <v>385</v>
      </c>
    </row>
    <row r="31" spans="3:4">
      <c r="C31" t="s">
        <v>385</v>
      </c>
      <c r="D31" t="s">
        <v>385</v>
      </c>
    </row>
    <row r="32" spans="3:4">
      <c r="C32" t="s">
        <v>385</v>
      </c>
      <c r="D32" t="s">
        <v>385</v>
      </c>
    </row>
    <row r="33" spans="3:4">
      <c r="C33" t="s">
        <v>385</v>
      </c>
      <c r="D33" t="s">
        <v>385</v>
      </c>
    </row>
    <row r="34" spans="3:4">
      <c r="C34" t="s">
        <v>385</v>
      </c>
      <c r="D34" t="s">
        <v>385</v>
      </c>
    </row>
    <row r="35" spans="3:4">
      <c r="C35" t="s">
        <v>385</v>
      </c>
      <c r="D35" t="s">
        <v>385</v>
      </c>
    </row>
    <row r="36" spans="3:4">
      <c r="C36" t="s">
        <v>385</v>
      </c>
      <c r="D36" t="s">
        <v>385</v>
      </c>
    </row>
    <row r="37" spans="3:4">
      <c r="C37" t="s">
        <v>385</v>
      </c>
      <c r="D37" t="s">
        <v>385</v>
      </c>
    </row>
    <row r="38" spans="3:4">
      <c r="C38" t="s">
        <v>385</v>
      </c>
      <c r="D38" t="s">
        <v>385</v>
      </c>
    </row>
    <row r="39" spans="3:4">
      <c r="C39" t="s">
        <v>385</v>
      </c>
      <c r="D39" t="s">
        <v>385</v>
      </c>
    </row>
    <row r="40" spans="3:4">
      <c r="C40" t="s">
        <v>385</v>
      </c>
      <c r="D40" t="s">
        <v>385</v>
      </c>
    </row>
    <row r="41" spans="3:4">
      <c r="C41" t="s">
        <v>385</v>
      </c>
      <c r="D41" t="s">
        <v>385</v>
      </c>
    </row>
    <row r="42" spans="3:4">
      <c r="C42" t="s">
        <v>385</v>
      </c>
      <c r="D42" t="s">
        <v>385</v>
      </c>
    </row>
    <row r="43" spans="3:4">
      <c r="C43" t="s">
        <v>385</v>
      </c>
      <c r="D43" t="s">
        <v>385</v>
      </c>
    </row>
    <row r="44" spans="3:4">
      <c r="C44" t="s">
        <v>385</v>
      </c>
      <c r="D44" t="s">
        <v>385</v>
      </c>
    </row>
    <row r="45" spans="3:4">
      <c r="C45" t="s">
        <v>385</v>
      </c>
      <c r="D45" t="s">
        <v>385</v>
      </c>
    </row>
    <row r="46" spans="3:4">
      <c r="C46" t="s">
        <v>385</v>
      </c>
      <c r="D46" t="s">
        <v>385</v>
      </c>
    </row>
    <row r="47" spans="3:4">
      <c r="C47" t="s">
        <v>385</v>
      </c>
      <c r="D47" t="s">
        <v>385</v>
      </c>
    </row>
    <row r="48" spans="3:4">
      <c r="C48" t="s">
        <v>385</v>
      </c>
      <c r="D48" t="s">
        <v>385</v>
      </c>
    </row>
    <row r="49" spans="3:4">
      <c r="C49" t="s">
        <v>385</v>
      </c>
      <c r="D49" t="s">
        <v>385</v>
      </c>
    </row>
    <row r="50" spans="3:4">
      <c r="C50" t="s">
        <v>385</v>
      </c>
      <c r="D50" t="s">
        <v>385</v>
      </c>
    </row>
    <row r="51" spans="3:4">
      <c r="C51" t="s">
        <v>385</v>
      </c>
      <c r="D51" t="s">
        <v>385</v>
      </c>
    </row>
    <row r="52" spans="3:4">
      <c r="C52" t="s">
        <v>385</v>
      </c>
      <c r="D52" t="s">
        <v>385</v>
      </c>
    </row>
    <row r="53" spans="3:4">
      <c r="C53" t="s">
        <v>385</v>
      </c>
      <c r="D53" t="s">
        <v>385</v>
      </c>
    </row>
    <row r="54" spans="3:4">
      <c r="C54" t="s">
        <v>385</v>
      </c>
      <c r="D54" t="s">
        <v>385</v>
      </c>
    </row>
    <row r="55" spans="3:4">
      <c r="C55" t="s">
        <v>385</v>
      </c>
      <c r="D55" t="s">
        <v>385</v>
      </c>
    </row>
    <row r="56" spans="3:4">
      <c r="C56" t="s">
        <v>385</v>
      </c>
      <c r="D56" t="s">
        <v>385</v>
      </c>
    </row>
    <row r="57" spans="3:4">
      <c r="C57" t="s">
        <v>385</v>
      </c>
      <c r="D57" t="s">
        <v>385</v>
      </c>
    </row>
    <row r="58" spans="3:4">
      <c r="C58" t="s">
        <v>385</v>
      </c>
      <c r="D58" t="s">
        <v>385</v>
      </c>
    </row>
    <row r="59" spans="3:4">
      <c r="C59" t="s">
        <v>385</v>
      </c>
      <c r="D59" t="s">
        <v>385</v>
      </c>
    </row>
    <row r="60" spans="3:4">
      <c r="C60" t="s">
        <v>385</v>
      </c>
      <c r="D60" t="s">
        <v>385</v>
      </c>
    </row>
    <row r="61" spans="3:4">
      <c r="C61" t="s">
        <v>385</v>
      </c>
      <c r="D61" t="s">
        <v>385</v>
      </c>
    </row>
    <row r="62" spans="3:4">
      <c r="C62" t="s">
        <v>385</v>
      </c>
      <c r="D62" t="s">
        <v>385</v>
      </c>
    </row>
    <row r="63" spans="3:4">
      <c r="C63" t="s">
        <v>385</v>
      </c>
      <c r="D63" t="s">
        <v>385</v>
      </c>
    </row>
    <row r="64" spans="3:4">
      <c r="C64" t="s">
        <v>385</v>
      </c>
      <c r="D64" t="s">
        <v>385</v>
      </c>
    </row>
    <row r="65" spans="3:4">
      <c r="C65" t="s">
        <v>385</v>
      </c>
      <c r="D65" t="s">
        <v>385</v>
      </c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383</v>
      </c>
      <c r="D7" t="s">
        <v>383</v>
      </c>
    </row>
    <row r="8" spans="3:4">
      <c r="C8" t="s">
        <v>383</v>
      </c>
      <c r="D8" t="s">
        <v>383</v>
      </c>
    </row>
    <row r="9" spans="3:4">
      <c r="C9" t="s">
        <v>383</v>
      </c>
      <c r="D9" t="s">
        <v>383</v>
      </c>
    </row>
    <row r="10" spans="3:4">
      <c r="C10" t="s">
        <v>383</v>
      </c>
      <c r="D10" t="s">
        <v>383</v>
      </c>
    </row>
    <row r="11" spans="3:4">
      <c r="C11" t="s">
        <v>383</v>
      </c>
      <c r="D11" t="s">
        <v>383</v>
      </c>
    </row>
    <row r="12" spans="3:4">
      <c r="C12" t="s">
        <v>383</v>
      </c>
      <c r="D12" t="s">
        <v>383</v>
      </c>
    </row>
    <row r="13" spans="3:4">
      <c r="C13" t="s">
        <v>383</v>
      </c>
      <c r="D13" t="s">
        <v>383</v>
      </c>
    </row>
    <row r="14" spans="3:4">
      <c r="C14" t="s">
        <v>383</v>
      </c>
      <c r="D14" t="s">
        <v>383</v>
      </c>
    </row>
    <row r="15" spans="3:4">
      <c r="C15" t="s">
        <v>383</v>
      </c>
      <c r="D15" t="s">
        <v>383</v>
      </c>
    </row>
    <row r="16" spans="3:4">
      <c r="C16" t="s">
        <v>383</v>
      </c>
      <c r="D16" t="s">
        <v>383</v>
      </c>
    </row>
    <row r="17" spans="3:4">
      <c r="C17" t="s">
        <v>383</v>
      </c>
      <c r="D17" t="s">
        <v>383</v>
      </c>
    </row>
    <row r="18" spans="3:4">
      <c r="C18" t="s">
        <v>383</v>
      </c>
      <c r="D18" t="s">
        <v>383</v>
      </c>
    </row>
    <row r="19" spans="3:4">
      <c r="C19" t="s">
        <v>383</v>
      </c>
      <c r="D19" t="s">
        <v>383</v>
      </c>
    </row>
    <row r="20" spans="3:4">
      <c r="C20" t="s">
        <v>383</v>
      </c>
      <c r="D20" t="s">
        <v>383</v>
      </c>
    </row>
    <row r="21" spans="3:4">
      <c r="C21" t="s">
        <v>383</v>
      </c>
      <c r="D21" t="s">
        <v>383</v>
      </c>
    </row>
    <row r="22" spans="3:4">
      <c r="C22" t="s">
        <v>383</v>
      </c>
      <c r="D22" t="s">
        <v>383</v>
      </c>
    </row>
    <row r="23" spans="3:4">
      <c r="C23" t="s">
        <v>383</v>
      </c>
      <c r="D23" t="s">
        <v>383</v>
      </c>
    </row>
    <row r="24" spans="3:4">
      <c r="C24" t="s">
        <v>383</v>
      </c>
      <c r="D24" t="s">
        <v>383</v>
      </c>
    </row>
    <row r="25" spans="3:4">
      <c r="C25" t="s">
        <v>383</v>
      </c>
      <c r="D25" t="s">
        <v>383</v>
      </c>
    </row>
    <row r="26" spans="3:4">
      <c r="C26" t="s">
        <v>383</v>
      </c>
      <c r="D26" t="s">
        <v>383</v>
      </c>
    </row>
    <row r="27" spans="3:4">
      <c r="C27" t="s">
        <v>383</v>
      </c>
      <c r="D27" t="s">
        <v>383</v>
      </c>
    </row>
    <row r="28" spans="3:4">
      <c r="C28" t="s">
        <v>383</v>
      </c>
      <c r="D28" t="s">
        <v>383</v>
      </c>
    </row>
    <row r="29" spans="3:4">
      <c r="C29" t="s">
        <v>383</v>
      </c>
      <c r="D29" t="s">
        <v>383</v>
      </c>
    </row>
    <row r="30" spans="3:4">
      <c r="C30" t="s">
        <v>383</v>
      </c>
      <c r="D30" t="s">
        <v>383</v>
      </c>
    </row>
    <row r="31" spans="3:4">
      <c r="C31" t="s">
        <v>383</v>
      </c>
      <c r="D31" t="s">
        <v>383</v>
      </c>
    </row>
    <row r="32" spans="3:4">
      <c r="C32" t="s">
        <v>383</v>
      </c>
      <c r="D32" t="s">
        <v>383</v>
      </c>
    </row>
    <row r="33" spans="3:4">
      <c r="C33" t="s">
        <v>383</v>
      </c>
      <c r="D33" t="s">
        <v>383</v>
      </c>
    </row>
    <row r="34" spans="3:4">
      <c r="C34" t="s">
        <v>383</v>
      </c>
      <c r="D34" t="s">
        <v>383</v>
      </c>
    </row>
    <row r="35" spans="3:4">
      <c r="C35" t="s">
        <v>383</v>
      </c>
      <c r="D35" t="s">
        <v>383</v>
      </c>
    </row>
    <row r="36" spans="3:4">
      <c r="C36" t="s">
        <v>383</v>
      </c>
      <c r="D36" t="s">
        <v>383</v>
      </c>
    </row>
    <row r="37" spans="3:4">
      <c r="C37" t="s">
        <v>383</v>
      </c>
      <c r="D37" t="s">
        <v>383</v>
      </c>
    </row>
    <row r="38" spans="3:4">
      <c r="C38" t="s">
        <v>383</v>
      </c>
      <c r="D38" t="s">
        <v>383</v>
      </c>
    </row>
    <row r="39" spans="3:4">
      <c r="C39" t="s">
        <v>383</v>
      </c>
      <c r="D39" t="s">
        <v>383</v>
      </c>
    </row>
    <row r="40" spans="3:4">
      <c r="C40" t="s">
        <v>383</v>
      </c>
      <c r="D40" t="s">
        <v>383</v>
      </c>
    </row>
    <row r="41" spans="3:4">
      <c r="C41" t="s">
        <v>383</v>
      </c>
      <c r="D41" t="s">
        <v>383</v>
      </c>
    </row>
    <row r="42" spans="3:4">
      <c r="C42" t="s">
        <v>383</v>
      </c>
      <c r="D42" t="s">
        <v>383</v>
      </c>
    </row>
    <row r="43" spans="3:4">
      <c r="C43" t="s">
        <v>383</v>
      </c>
      <c r="D43" t="s">
        <v>383</v>
      </c>
    </row>
    <row r="44" spans="3:4">
      <c r="C44" t="s">
        <v>383</v>
      </c>
      <c r="D44" t="s">
        <v>383</v>
      </c>
    </row>
    <row r="45" spans="3:4">
      <c r="C45" t="s">
        <v>383</v>
      </c>
      <c r="D45" t="s">
        <v>383</v>
      </c>
    </row>
    <row r="46" spans="3:4">
      <c r="C46" t="s">
        <v>383</v>
      </c>
      <c r="D46" t="s">
        <v>383</v>
      </c>
    </row>
    <row r="47" spans="3:4">
      <c r="C47" t="s">
        <v>383</v>
      </c>
      <c r="D47" t="s">
        <v>383</v>
      </c>
    </row>
    <row r="48" spans="3:4">
      <c r="C48" t="s">
        <v>383</v>
      </c>
      <c r="D48" t="s">
        <v>383</v>
      </c>
    </row>
    <row r="49" spans="3:4">
      <c r="C49" t="s">
        <v>383</v>
      </c>
      <c r="D49" t="s">
        <v>383</v>
      </c>
    </row>
    <row r="50" spans="3:4">
      <c r="C50" t="s">
        <v>383</v>
      </c>
      <c r="D50" t="s">
        <v>383</v>
      </c>
    </row>
    <row r="51" spans="3:4">
      <c r="C51" t="s">
        <v>383</v>
      </c>
      <c r="D51" t="s">
        <v>383</v>
      </c>
    </row>
    <row r="52" spans="3:4">
      <c r="C52" t="s">
        <v>383</v>
      </c>
      <c r="D52" t="s">
        <v>383</v>
      </c>
    </row>
    <row r="53" spans="3:4">
      <c r="C53" t="s">
        <v>383</v>
      </c>
      <c r="D53" t="s">
        <v>383</v>
      </c>
    </row>
    <row r="54" spans="3:4">
      <c r="C54" t="s">
        <v>383</v>
      </c>
      <c r="D54" t="s">
        <v>383</v>
      </c>
    </row>
    <row r="55" spans="3:4">
      <c r="C55" t="s">
        <v>383</v>
      </c>
      <c r="D55" t="s">
        <v>383</v>
      </c>
    </row>
    <row r="56" spans="3:4">
      <c r="C56" t="s">
        <v>383</v>
      </c>
      <c r="D56" t="s">
        <v>383</v>
      </c>
    </row>
    <row r="57" spans="3:4">
      <c r="C57" t="s">
        <v>383</v>
      </c>
      <c r="D57" t="s">
        <v>383</v>
      </c>
    </row>
    <row r="58" spans="3:4">
      <c r="C58" t="s">
        <v>383</v>
      </c>
      <c r="D58" t="s">
        <v>383</v>
      </c>
    </row>
    <row r="59" spans="3:4">
      <c r="C59" t="s">
        <v>383</v>
      </c>
      <c r="D59" t="s">
        <v>383</v>
      </c>
    </row>
    <row r="60" spans="3:4">
      <c r="C60" t="s">
        <v>383</v>
      </c>
      <c r="D60" t="s">
        <v>383</v>
      </c>
    </row>
    <row r="61" spans="3:4">
      <c r="C61" t="s">
        <v>383</v>
      </c>
      <c r="D61" t="s">
        <v>383</v>
      </c>
    </row>
    <row r="62" spans="3:4">
      <c r="C62" t="s">
        <v>383</v>
      </c>
      <c r="D62" t="s">
        <v>383</v>
      </c>
    </row>
    <row r="63" spans="3:4">
      <c r="C63" t="s">
        <v>383</v>
      </c>
      <c r="D63" t="s">
        <v>383</v>
      </c>
    </row>
    <row r="64" spans="3:4">
      <c r="C64" t="s">
        <v>383</v>
      </c>
      <c r="D64" t="s">
        <v>383</v>
      </c>
    </row>
    <row r="65" spans="3:4">
      <c r="C65" t="s">
        <v>383</v>
      </c>
      <c r="D65" t="s">
        <v>383</v>
      </c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382</v>
      </c>
      <c r="D7" t="s">
        <v>382</v>
      </c>
    </row>
    <row r="8" spans="3:4">
      <c r="C8" t="s">
        <v>382</v>
      </c>
      <c r="D8" t="s">
        <v>382</v>
      </c>
    </row>
    <row r="9" spans="3:4">
      <c r="C9" t="s">
        <v>382</v>
      </c>
      <c r="D9" t="s">
        <v>382</v>
      </c>
    </row>
    <row r="10" spans="3:4">
      <c r="C10" t="s">
        <v>382</v>
      </c>
      <c r="D10" t="s">
        <v>382</v>
      </c>
    </row>
    <row r="11" spans="3:4">
      <c r="C11" t="s">
        <v>382</v>
      </c>
      <c r="D11" t="s">
        <v>382</v>
      </c>
    </row>
    <row r="12" spans="3:4">
      <c r="C12" t="s">
        <v>382</v>
      </c>
      <c r="D12" t="s">
        <v>382</v>
      </c>
    </row>
    <row r="13" spans="3:4">
      <c r="C13" t="s">
        <v>382</v>
      </c>
      <c r="D13" t="s">
        <v>382</v>
      </c>
    </row>
    <row r="14" spans="3:4">
      <c r="C14" t="s">
        <v>382</v>
      </c>
      <c r="D14" t="s">
        <v>382</v>
      </c>
    </row>
    <row r="15" spans="3:4">
      <c r="C15" t="s">
        <v>382</v>
      </c>
      <c r="D15" t="s">
        <v>382</v>
      </c>
    </row>
    <row r="16" spans="3:4">
      <c r="C16" t="s">
        <v>382</v>
      </c>
      <c r="D16" t="s">
        <v>382</v>
      </c>
    </row>
    <row r="17" spans="3:4">
      <c r="C17" t="s">
        <v>382</v>
      </c>
      <c r="D17" t="s">
        <v>382</v>
      </c>
    </row>
    <row r="18" spans="3:4">
      <c r="C18" t="s">
        <v>382</v>
      </c>
      <c r="D18" t="s">
        <v>382</v>
      </c>
    </row>
    <row r="19" spans="3:4">
      <c r="C19" t="s">
        <v>382</v>
      </c>
      <c r="D19" t="s">
        <v>382</v>
      </c>
    </row>
    <row r="20" spans="3:4">
      <c r="C20" t="s">
        <v>382</v>
      </c>
      <c r="D20" t="s">
        <v>382</v>
      </c>
    </row>
    <row r="21" spans="3:4">
      <c r="C21" t="s">
        <v>382</v>
      </c>
      <c r="D21" t="s">
        <v>382</v>
      </c>
    </row>
    <row r="22" spans="3:4">
      <c r="C22" t="s">
        <v>382</v>
      </c>
      <c r="D22" t="s">
        <v>382</v>
      </c>
    </row>
    <row r="23" spans="3:4">
      <c r="C23" t="s">
        <v>382</v>
      </c>
      <c r="D23" t="s">
        <v>382</v>
      </c>
    </row>
    <row r="24" spans="3:4">
      <c r="C24" t="s">
        <v>382</v>
      </c>
      <c r="D24" t="s">
        <v>382</v>
      </c>
    </row>
    <row r="25" spans="3:4">
      <c r="C25" t="s">
        <v>382</v>
      </c>
      <c r="D25" t="s">
        <v>382</v>
      </c>
    </row>
    <row r="26" spans="3:4">
      <c r="C26" t="s">
        <v>382</v>
      </c>
      <c r="D26" t="s">
        <v>382</v>
      </c>
    </row>
    <row r="27" spans="3:4">
      <c r="C27" t="s">
        <v>382</v>
      </c>
      <c r="D27" t="s">
        <v>382</v>
      </c>
    </row>
    <row r="28" spans="3:4">
      <c r="C28" t="s">
        <v>382</v>
      </c>
      <c r="D28" t="s">
        <v>382</v>
      </c>
    </row>
    <row r="29" spans="3:4">
      <c r="C29" t="s">
        <v>382</v>
      </c>
      <c r="D29" t="s">
        <v>382</v>
      </c>
    </row>
    <row r="30" spans="3:4">
      <c r="C30" t="s">
        <v>382</v>
      </c>
      <c r="D30" t="s">
        <v>382</v>
      </c>
    </row>
    <row r="31" spans="3:4">
      <c r="C31" t="s">
        <v>382</v>
      </c>
      <c r="D31" t="s">
        <v>382</v>
      </c>
    </row>
    <row r="32" spans="3:4">
      <c r="C32" t="s">
        <v>382</v>
      </c>
      <c r="D32" t="s">
        <v>382</v>
      </c>
    </row>
    <row r="33" spans="3:4">
      <c r="C33" t="s">
        <v>382</v>
      </c>
      <c r="D33" t="s">
        <v>382</v>
      </c>
    </row>
    <row r="34" spans="3:4">
      <c r="C34" t="s">
        <v>382</v>
      </c>
      <c r="D34" t="s">
        <v>382</v>
      </c>
    </row>
    <row r="35" spans="3:4">
      <c r="C35" t="s">
        <v>382</v>
      </c>
      <c r="D35" t="s">
        <v>382</v>
      </c>
    </row>
    <row r="36" spans="3:4">
      <c r="C36" t="s">
        <v>382</v>
      </c>
      <c r="D36" t="s">
        <v>382</v>
      </c>
    </row>
    <row r="37" spans="3:4">
      <c r="C37" t="s">
        <v>382</v>
      </c>
      <c r="D37" t="s">
        <v>382</v>
      </c>
    </row>
    <row r="38" spans="3:4">
      <c r="C38" t="s">
        <v>382</v>
      </c>
      <c r="D38" t="s">
        <v>382</v>
      </c>
    </row>
    <row r="39" spans="3:4">
      <c r="C39" t="s">
        <v>382</v>
      </c>
      <c r="D39" t="s">
        <v>382</v>
      </c>
    </row>
    <row r="40" spans="3:4">
      <c r="C40" t="s">
        <v>382</v>
      </c>
      <c r="D40" t="s">
        <v>382</v>
      </c>
    </row>
    <row r="41" spans="3:4">
      <c r="C41" t="s">
        <v>382</v>
      </c>
      <c r="D41" t="s">
        <v>382</v>
      </c>
    </row>
    <row r="42" spans="3:4">
      <c r="C42" t="s">
        <v>382</v>
      </c>
      <c r="D42" t="s">
        <v>382</v>
      </c>
    </row>
    <row r="43" spans="3:4">
      <c r="C43" t="s">
        <v>382</v>
      </c>
      <c r="D43" t="s">
        <v>382</v>
      </c>
    </row>
    <row r="44" spans="3:4">
      <c r="C44" t="s">
        <v>382</v>
      </c>
      <c r="D44" t="s">
        <v>382</v>
      </c>
    </row>
    <row r="45" spans="3:4">
      <c r="C45" t="s">
        <v>382</v>
      </c>
      <c r="D45" t="s">
        <v>382</v>
      </c>
    </row>
    <row r="46" spans="3:4">
      <c r="C46" t="s">
        <v>382</v>
      </c>
      <c r="D46" t="s">
        <v>382</v>
      </c>
    </row>
    <row r="47" spans="3:4">
      <c r="C47" t="s">
        <v>382</v>
      </c>
      <c r="D47" t="s">
        <v>382</v>
      </c>
    </row>
    <row r="48" spans="3:4">
      <c r="C48" t="s">
        <v>382</v>
      </c>
      <c r="D48" t="s">
        <v>382</v>
      </c>
    </row>
    <row r="49" spans="3:4">
      <c r="C49" t="s">
        <v>382</v>
      </c>
      <c r="D49" t="s">
        <v>382</v>
      </c>
    </row>
    <row r="50" spans="3:4">
      <c r="C50" t="s">
        <v>382</v>
      </c>
      <c r="D50" t="s">
        <v>382</v>
      </c>
    </row>
    <row r="51" spans="3:4">
      <c r="C51" t="s">
        <v>382</v>
      </c>
      <c r="D51" t="s">
        <v>382</v>
      </c>
    </row>
    <row r="52" spans="3:4">
      <c r="C52" t="s">
        <v>382</v>
      </c>
      <c r="D52" t="s">
        <v>382</v>
      </c>
    </row>
    <row r="53" spans="3:4">
      <c r="C53" t="s">
        <v>382</v>
      </c>
      <c r="D53" t="s">
        <v>382</v>
      </c>
    </row>
    <row r="54" spans="3:4">
      <c r="C54" t="s">
        <v>382</v>
      </c>
      <c r="D54" t="s">
        <v>382</v>
      </c>
    </row>
    <row r="55" spans="3:4">
      <c r="C55" t="s">
        <v>382</v>
      </c>
      <c r="D55" t="s">
        <v>382</v>
      </c>
    </row>
    <row r="56" spans="3:4">
      <c r="C56" t="s">
        <v>382</v>
      </c>
      <c r="D56" t="s">
        <v>382</v>
      </c>
    </row>
    <row r="57" spans="3:4">
      <c r="C57" t="s">
        <v>382</v>
      </c>
      <c r="D57" t="s">
        <v>382</v>
      </c>
    </row>
    <row r="58" spans="3:4">
      <c r="C58" t="s">
        <v>382</v>
      </c>
      <c r="D58" t="s">
        <v>382</v>
      </c>
    </row>
    <row r="59" spans="3:4">
      <c r="C59" t="s">
        <v>382</v>
      </c>
      <c r="D59" t="s">
        <v>382</v>
      </c>
    </row>
    <row r="60" spans="3:4">
      <c r="C60" t="s">
        <v>382</v>
      </c>
      <c r="D60" t="s">
        <v>382</v>
      </c>
    </row>
    <row r="61" spans="3:4">
      <c r="C61" t="s">
        <v>382</v>
      </c>
      <c r="D61" t="s">
        <v>382</v>
      </c>
    </row>
    <row r="62" spans="3:4">
      <c r="C62" t="s">
        <v>382</v>
      </c>
      <c r="D62" t="s">
        <v>382</v>
      </c>
    </row>
    <row r="63" spans="3:4">
      <c r="C63" t="s">
        <v>382</v>
      </c>
      <c r="D63" t="s">
        <v>382</v>
      </c>
    </row>
    <row r="64" spans="3:4">
      <c r="C64" t="s">
        <v>382</v>
      </c>
      <c r="D64" t="s">
        <v>382</v>
      </c>
    </row>
    <row r="65" spans="3:4">
      <c r="C65" t="s">
        <v>382</v>
      </c>
      <c r="D65" t="s">
        <v>382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defaultRowHeight="15"/>
  <sheetData>
    <row r="1" spans="1:1">
      <c r="A1">
        <v>777</v>
      </c>
    </row>
    <row r="2" spans="1:1">
      <c r="A2" t="s">
        <v>82</v>
      </c>
    </row>
    <row r="3" spans="1:1">
      <c r="A3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261"/>
  <sheetViews>
    <sheetView workbookViewId="0">
      <selection activeCell="D39" sqref="D39"/>
    </sheetView>
  </sheetViews>
  <sheetFormatPr defaultColWidth="11.7109375" defaultRowHeight="15"/>
  <cols>
    <col min="1" max="1" width="59.8554687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10.28515625" customWidth="1"/>
    <col min="8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226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6468865.2999999998</v>
      </c>
      <c r="D8" s="11">
        <f>D9+D11+D14+D15</f>
        <v>6146310.2700000005</v>
      </c>
    </row>
    <row r="9" spans="1:4" ht="30">
      <c r="A9" s="12" t="s">
        <v>90</v>
      </c>
      <c r="B9" s="13" t="s">
        <v>91</v>
      </c>
      <c r="C9" s="14">
        <f>5666422.89</f>
        <v>5666422.8899999997</v>
      </c>
      <c r="D9" s="15">
        <v>5571811.6100000003</v>
      </c>
    </row>
    <row r="10" spans="1:4">
      <c r="A10" s="16" t="s">
        <v>92</v>
      </c>
      <c r="B10" s="17" t="s">
        <v>93</v>
      </c>
      <c r="C10" s="18">
        <f>3653999.88479263</f>
        <v>3653999.8847926301</v>
      </c>
      <c r="D10" s="19">
        <f>_20h_E12</f>
        <v>3653999.8847926301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802442.40999999992</v>
      </c>
      <c r="D15" s="15">
        <f>SUM(D16:D24)</f>
        <v>574498.65999999992</v>
      </c>
    </row>
    <row r="16" spans="1:4">
      <c r="A16" s="22" t="s">
        <v>103</v>
      </c>
      <c r="B16" s="17" t="s">
        <v>104</v>
      </c>
      <c r="C16" s="111">
        <v>516055.08</v>
      </c>
      <c r="D16" s="113">
        <v>247893.01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158597.88</f>
        <v>158597.88</v>
      </c>
      <c r="D18" s="19">
        <f>198814.69</f>
        <v>198814.69</v>
      </c>
    </row>
    <row r="19" spans="1:4">
      <c r="A19" s="22" t="s">
        <v>109</v>
      </c>
      <c r="B19" s="17" t="s">
        <v>110</v>
      </c>
      <c r="C19" s="18">
        <f>15227.34</f>
        <v>15227.34</v>
      </c>
      <c r="D19" s="19">
        <f>15237.56</f>
        <v>15237.56</v>
      </c>
    </row>
    <row r="20" spans="1:4">
      <c r="A20" s="22" t="s">
        <v>111</v>
      </c>
      <c r="B20" s="17" t="s">
        <v>112</v>
      </c>
      <c r="C20" s="18">
        <f>20007.68</f>
        <v>20007.68</v>
      </c>
      <c r="D20" s="19">
        <f>19998.97</f>
        <v>19998.97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92554.43</f>
        <v>92554.43</v>
      </c>
      <c r="D22" s="19">
        <f>92554.43</f>
        <v>92554.43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2218638.8600000562</v>
      </c>
      <c r="D25" s="15">
        <f>D26+D27+D30+D28+D29+D31</f>
        <v>1666178.5300000003</v>
      </c>
    </row>
    <row r="26" spans="1:4" ht="18" customHeight="1">
      <c r="A26" s="24" t="s">
        <v>123</v>
      </c>
      <c r="B26" s="20" t="s">
        <v>124</v>
      </c>
      <c r="C26" s="18">
        <f>838980</f>
        <v>838980</v>
      </c>
      <c r="D26" s="19">
        <f>838980</f>
        <v>838980</v>
      </c>
    </row>
    <row r="27" spans="1:4" ht="45">
      <c r="A27" s="24" t="s">
        <v>125</v>
      </c>
      <c r="B27" s="20" t="s">
        <v>126</v>
      </c>
      <c r="C27" s="18">
        <f>101899.92</f>
        <v>101899.92</v>
      </c>
      <c r="D27" s="19">
        <f>101930.55</f>
        <v>101930.55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102346.08</f>
        <v>102346.08</v>
      </c>
      <c r="D29" s="19">
        <f>101451.3</f>
        <v>101451.3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1175412.860000056</v>
      </c>
      <c r="D31" s="15">
        <f>SUM(D32:D39)</f>
        <v>623816.68000000005</v>
      </c>
    </row>
    <row r="32" spans="1:4" ht="21.75" customHeight="1">
      <c r="A32" s="24" t="s">
        <v>135</v>
      </c>
      <c r="B32" s="17" t="s">
        <v>136</v>
      </c>
      <c r="C32" s="18">
        <f>153157.06</f>
        <v>153157.06</v>
      </c>
      <c r="D32" s="19">
        <f>153157.12</f>
        <v>153157.12</v>
      </c>
    </row>
    <row r="33" spans="1:7">
      <c r="A33" s="24" t="s">
        <v>137</v>
      </c>
      <c r="B33" s="17" t="s">
        <v>138</v>
      </c>
      <c r="C33" s="18">
        <f>143436.76</f>
        <v>143436.76</v>
      </c>
      <c r="D33" s="19">
        <f>114895.15</f>
        <v>114895.15</v>
      </c>
    </row>
    <row r="34" spans="1:7">
      <c r="A34" s="24" t="s">
        <v>139</v>
      </c>
      <c r="B34" s="17" t="s">
        <v>140</v>
      </c>
      <c r="C34" s="18">
        <f>223040.76</f>
        <v>223040.76</v>
      </c>
      <c r="D34" s="19">
        <f>226150.01</f>
        <v>226150.01</v>
      </c>
    </row>
    <row r="35" spans="1:7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7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7" ht="21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7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7" ht="30">
      <c r="A39" s="24" t="s">
        <v>476</v>
      </c>
      <c r="B39" s="17" t="s">
        <v>150</v>
      </c>
      <c r="C39" s="18">
        <f>655778.280000056</f>
        <v>655778.28000005602</v>
      </c>
      <c r="D39" s="35">
        <v>129614.39999999999</v>
      </c>
      <c r="G39" s="87"/>
    </row>
    <row r="40" spans="1:7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7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7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7" ht="18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7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7">
      <c r="A45" s="8" t="s">
        <v>161</v>
      </c>
      <c r="B45" s="9" t="s">
        <v>162</v>
      </c>
      <c r="C45" s="26">
        <f>SUM(C46:C48)</f>
        <v>61510.68</v>
      </c>
      <c r="D45" s="27">
        <f>SUM(D46:D48)</f>
        <v>741853.35</v>
      </c>
    </row>
    <row r="46" spans="1:7">
      <c r="A46" s="21" t="s">
        <v>163</v>
      </c>
      <c r="B46" s="17" t="s">
        <v>164</v>
      </c>
      <c r="C46" s="18">
        <f>59309.64</f>
        <v>59309.64</v>
      </c>
      <c r="D46" s="19">
        <f>65707.23</f>
        <v>65707.23</v>
      </c>
    </row>
    <row r="47" spans="1:7">
      <c r="A47" s="21" t="s">
        <v>149</v>
      </c>
      <c r="B47" s="17" t="s">
        <v>165</v>
      </c>
      <c r="C47" s="18">
        <f>0</f>
        <v>0</v>
      </c>
      <c r="D47" s="19">
        <v>673945.08</v>
      </c>
    </row>
    <row r="48" spans="1:7">
      <c r="A48" s="21" t="s">
        <v>166</v>
      </c>
      <c r="B48" s="17" t="s">
        <v>167</v>
      </c>
      <c r="C48" s="18">
        <f>2201.04</f>
        <v>2201.04</v>
      </c>
      <c r="D48" s="19">
        <f>2201.04</f>
        <v>2201.04</v>
      </c>
    </row>
    <row r="49" spans="1:4">
      <c r="A49" s="8" t="s">
        <v>440</v>
      </c>
      <c r="B49" s="28" t="s">
        <v>168</v>
      </c>
      <c r="C49" s="29">
        <f>691838.76</f>
        <v>691838.76</v>
      </c>
      <c r="D49" s="30">
        <f>886511.45</f>
        <v>886511.45</v>
      </c>
    </row>
    <row r="50" spans="1:4">
      <c r="A50" s="8" t="s">
        <v>169</v>
      </c>
      <c r="B50" s="9" t="s">
        <v>170</v>
      </c>
      <c r="C50" s="14">
        <f>C8+C25+C40+C41+C42+C43+C44+C45+C49+C51+C52</f>
        <v>9440853.6000000555</v>
      </c>
      <c r="D50" s="15">
        <f>D8+D25+D40+D41+D42+D43+D44+D45+D49+D51+D52</f>
        <v>9440853.5999999996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5548787.2800000003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5404112.04</f>
        <v>5404112.04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144675.24</f>
        <v>144675.24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2984790</f>
        <v>2984790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8533577.2800000012</v>
      </c>
      <c r="D59" s="27">
        <f>D54+D57+D58</f>
        <v>0</v>
      </c>
    </row>
    <row r="60" spans="1:4" ht="25.5">
      <c r="A60" s="33" t="s">
        <v>188</v>
      </c>
      <c r="B60" s="9"/>
      <c r="C60" s="34">
        <v>35044</v>
      </c>
      <c r="D60" s="35">
        <v>35044</v>
      </c>
    </row>
    <row r="61" spans="1:4" ht="15.75" thickBot="1">
      <c r="A61" s="36" t="s">
        <v>189</v>
      </c>
      <c r="B61" s="37"/>
      <c r="C61" s="38">
        <f>(C50+C51+C52)/C60/12</f>
        <v>22.450000000000131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380</v>
      </c>
      <c r="D7" t="s">
        <v>380</v>
      </c>
    </row>
    <row r="8" spans="3:4">
      <c r="C8" t="s">
        <v>380</v>
      </c>
      <c r="D8" t="s">
        <v>380</v>
      </c>
    </row>
    <row r="9" spans="3:4">
      <c r="C9" t="s">
        <v>380</v>
      </c>
      <c r="D9" t="s">
        <v>380</v>
      </c>
    </row>
    <row r="10" spans="3:4">
      <c r="C10" t="s">
        <v>380</v>
      </c>
      <c r="D10" t="s">
        <v>380</v>
      </c>
    </row>
    <row r="11" spans="3:4">
      <c r="C11" t="s">
        <v>380</v>
      </c>
      <c r="D11" t="s">
        <v>380</v>
      </c>
    </row>
    <row r="12" spans="3:4">
      <c r="C12" t="s">
        <v>380</v>
      </c>
      <c r="D12" t="s">
        <v>380</v>
      </c>
    </row>
    <row r="13" spans="3:4">
      <c r="C13" t="s">
        <v>380</v>
      </c>
      <c r="D13" t="s">
        <v>380</v>
      </c>
    </row>
    <row r="14" spans="3:4">
      <c r="C14" t="s">
        <v>380</v>
      </c>
      <c r="D14" t="s">
        <v>380</v>
      </c>
    </row>
    <row r="15" spans="3:4">
      <c r="C15" t="s">
        <v>380</v>
      </c>
      <c r="D15" t="s">
        <v>380</v>
      </c>
    </row>
    <row r="16" spans="3:4">
      <c r="C16" t="s">
        <v>380</v>
      </c>
      <c r="D16" t="s">
        <v>380</v>
      </c>
    </row>
    <row r="17" spans="3:4">
      <c r="C17" t="s">
        <v>380</v>
      </c>
      <c r="D17" t="s">
        <v>380</v>
      </c>
    </row>
    <row r="18" spans="3:4">
      <c r="C18" t="s">
        <v>380</v>
      </c>
      <c r="D18" t="s">
        <v>380</v>
      </c>
    </row>
    <row r="19" spans="3:4">
      <c r="C19" t="s">
        <v>380</v>
      </c>
      <c r="D19" t="s">
        <v>380</v>
      </c>
    </row>
    <row r="20" spans="3:4">
      <c r="C20" t="s">
        <v>380</v>
      </c>
      <c r="D20" t="s">
        <v>380</v>
      </c>
    </row>
    <row r="21" spans="3:4">
      <c r="C21" t="s">
        <v>380</v>
      </c>
      <c r="D21" t="s">
        <v>380</v>
      </c>
    </row>
    <row r="22" spans="3:4">
      <c r="C22" t="s">
        <v>380</v>
      </c>
      <c r="D22" t="s">
        <v>380</v>
      </c>
    </row>
    <row r="23" spans="3:4">
      <c r="C23" t="s">
        <v>380</v>
      </c>
      <c r="D23" t="s">
        <v>380</v>
      </c>
    </row>
    <row r="24" spans="3:4">
      <c r="C24" t="s">
        <v>380</v>
      </c>
      <c r="D24" t="s">
        <v>380</v>
      </c>
    </row>
    <row r="25" spans="3:4">
      <c r="C25" t="s">
        <v>380</v>
      </c>
      <c r="D25" t="s">
        <v>380</v>
      </c>
    </row>
    <row r="26" spans="3:4">
      <c r="C26" t="s">
        <v>380</v>
      </c>
      <c r="D26" t="s">
        <v>380</v>
      </c>
    </row>
    <row r="27" spans="3:4">
      <c r="C27" t="s">
        <v>380</v>
      </c>
      <c r="D27" t="s">
        <v>380</v>
      </c>
    </row>
    <row r="28" spans="3:4">
      <c r="C28" t="s">
        <v>380</v>
      </c>
      <c r="D28" t="s">
        <v>380</v>
      </c>
    </row>
    <row r="29" spans="3:4">
      <c r="C29" t="s">
        <v>380</v>
      </c>
      <c r="D29" t="s">
        <v>380</v>
      </c>
    </row>
    <row r="30" spans="3:4">
      <c r="C30" t="s">
        <v>380</v>
      </c>
      <c r="D30" t="s">
        <v>380</v>
      </c>
    </row>
    <row r="31" spans="3:4">
      <c r="C31" t="s">
        <v>380</v>
      </c>
      <c r="D31" t="s">
        <v>380</v>
      </c>
    </row>
    <row r="32" spans="3:4">
      <c r="C32" t="s">
        <v>380</v>
      </c>
      <c r="D32" t="s">
        <v>380</v>
      </c>
    </row>
    <row r="33" spans="3:4">
      <c r="C33" t="s">
        <v>380</v>
      </c>
      <c r="D33" t="s">
        <v>380</v>
      </c>
    </row>
    <row r="34" spans="3:4">
      <c r="C34" t="s">
        <v>380</v>
      </c>
      <c r="D34" t="s">
        <v>380</v>
      </c>
    </row>
    <row r="35" spans="3:4">
      <c r="C35" t="s">
        <v>380</v>
      </c>
      <c r="D35" t="s">
        <v>380</v>
      </c>
    </row>
    <row r="36" spans="3:4">
      <c r="C36" t="s">
        <v>380</v>
      </c>
      <c r="D36" t="s">
        <v>380</v>
      </c>
    </row>
    <row r="37" spans="3:4">
      <c r="C37" t="s">
        <v>380</v>
      </c>
      <c r="D37" t="s">
        <v>380</v>
      </c>
    </row>
    <row r="38" spans="3:4">
      <c r="C38" t="s">
        <v>380</v>
      </c>
      <c r="D38" t="s">
        <v>380</v>
      </c>
    </row>
    <row r="39" spans="3:4">
      <c r="C39" t="s">
        <v>380</v>
      </c>
      <c r="D39" t="s">
        <v>380</v>
      </c>
    </row>
    <row r="40" spans="3:4">
      <c r="C40" t="s">
        <v>380</v>
      </c>
      <c r="D40" t="s">
        <v>380</v>
      </c>
    </row>
    <row r="41" spans="3:4">
      <c r="C41" t="s">
        <v>380</v>
      </c>
      <c r="D41" t="s">
        <v>380</v>
      </c>
    </row>
    <row r="42" spans="3:4">
      <c r="C42" t="s">
        <v>380</v>
      </c>
      <c r="D42" t="s">
        <v>380</v>
      </c>
    </row>
    <row r="43" spans="3:4">
      <c r="C43" t="s">
        <v>380</v>
      </c>
      <c r="D43" t="s">
        <v>380</v>
      </c>
    </row>
    <row r="44" spans="3:4">
      <c r="C44" t="s">
        <v>380</v>
      </c>
      <c r="D44" t="s">
        <v>380</v>
      </c>
    </row>
    <row r="45" spans="3:4">
      <c r="C45" t="s">
        <v>380</v>
      </c>
      <c r="D45" t="s">
        <v>380</v>
      </c>
    </row>
    <row r="46" spans="3:4">
      <c r="C46" t="s">
        <v>380</v>
      </c>
      <c r="D46" t="s">
        <v>380</v>
      </c>
    </row>
    <row r="47" spans="3:4">
      <c r="C47" t="s">
        <v>380</v>
      </c>
      <c r="D47" t="s">
        <v>380</v>
      </c>
    </row>
    <row r="48" spans="3:4">
      <c r="C48" t="s">
        <v>380</v>
      </c>
      <c r="D48" t="s">
        <v>380</v>
      </c>
    </row>
    <row r="49" spans="3:4">
      <c r="C49" t="s">
        <v>380</v>
      </c>
      <c r="D49" t="s">
        <v>380</v>
      </c>
    </row>
    <row r="50" spans="3:4">
      <c r="C50" t="s">
        <v>380</v>
      </c>
      <c r="D50" t="s">
        <v>380</v>
      </c>
    </row>
    <row r="51" spans="3:4">
      <c r="C51" t="s">
        <v>380</v>
      </c>
      <c r="D51" t="s">
        <v>380</v>
      </c>
    </row>
    <row r="52" spans="3:4">
      <c r="C52" t="s">
        <v>380</v>
      </c>
      <c r="D52" t="s">
        <v>380</v>
      </c>
    </row>
    <row r="53" spans="3:4">
      <c r="C53" t="s">
        <v>380</v>
      </c>
      <c r="D53" t="s">
        <v>380</v>
      </c>
    </row>
    <row r="54" spans="3:4">
      <c r="C54" t="s">
        <v>380</v>
      </c>
      <c r="D54" t="s">
        <v>380</v>
      </c>
    </row>
    <row r="55" spans="3:4">
      <c r="C55" t="s">
        <v>380</v>
      </c>
      <c r="D55" t="s">
        <v>380</v>
      </c>
    </row>
    <row r="56" spans="3:4">
      <c r="C56" t="s">
        <v>380</v>
      </c>
      <c r="D56" t="s">
        <v>380</v>
      </c>
    </row>
    <row r="57" spans="3:4">
      <c r="C57" t="s">
        <v>380</v>
      </c>
      <c r="D57" t="s">
        <v>380</v>
      </c>
    </row>
    <row r="58" spans="3:4">
      <c r="C58" t="s">
        <v>380</v>
      </c>
      <c r="D58" t="s">
        <v>380</v>
      </c>
    </row>
    <row r="59" spans="3:4">
      <c r="C59" t="s">
        <v>380</v>
      </c>
      <c r="D59" t="s">
        <v>380</v>
      </c>
    </row>
    <row r="60" spans="3:4">
      <c r="C60" t="s">
        <v>380</v>
      </c>
      <c r="D60" t="s">
        <v>380</v>
      </c>
    </row>
    <row r="61" spans="3:4">
      <c r="C61" t="s">
        <v>380</v>
      </c>
      <c r="D61" t="s">
        <v>380</v>
      </c>
    </row>
    <row r="62" spans="3:4">
      <c r="C62" t="s">
        <v>380</v>
      </c>
      <c r="D62" t="s">
        <v>380</v>
      </c>
    </row>
    <row r="63" spans="3:4">
      <c r="C63" t="s">
        <v>380</v>
      </c>
      <c r="D63" t="s">
        <v>380</v>
      </c>
    </row>
    <row r="64" spans="3:4">
      <c r="C64" t="s">
        <v>380</v>
      </c>
      <c r="D64" t="s">
        <v>380</v>
      </c>
    </row>
    <row r="65" spans="3:4">
      <c r="C65" t="s">
        <v>380</v>
      </c>
      <c r="D65" t="s">
        <v>380</v>
      </c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378</v>
      </c>
      <c r="D7" t="s">
        <v>378</v>
      </c>
    </row>
    <row r="8" spans="3:4">
      <c r="C8" t="s">
        <v>378</v>
      </c>
      <c r="D8" t="s">
        <v>378</v>
      </c>
    </row>
    <row r="9" spans="3:4">
      <c r="C9" t="s">
        <v>378</v>
      </c>
      <c r="D9" t="s">
        <v>378</v>
      </c>
    </row>
    <row r="10" spans="3:4">
      <c r="C10" t="s">
        <v>378</v>
      </c>
      <c r="D10" t="s">
        <v>378</v>
      </c>
    </row>
    <row r="11" spans="3:4">
      <c r="C11" t="s">
        <v>378</v>
      </c>
      <c r="D11" t="s">
        <v>378</v>
      </c>
    </row>
    <row r="12" spans="3:4">
      <c r="C12" t="s">
        <v>378</v>
      </c>
      <c r="D12" t="s">
        <v>378</v>
      </c>
    </row>
    <row r="13" spans="3:4">
      <c r="C13" t="s">
        <v>378</v>
      </c>
      <c r="D13" t="s">
        <v>378</v>
      </c>
    </row>
    <row r="14" spans="3:4">
      <c r="C14" t="s">
        <v>378</v>
      </c>
      <c r="D14" t="s">
        <v>378</v>
      </c>
    </row>
    <row r="15" spans="3:4">
      <c r="C15" t="s">
        <v>378</v>
      </c>
      <c r="D15" t="s">
        <v>378</v>
      </c>
    </row>
    <row r="16" spans="3:4">
      <c r="C16" t="s">
        <v>378</v>
      </c>
      <c r="D16" t="s">
        <v>378</v>
      </c>
    </row>
    <row r="17" spans="3:4">
      <c r="C17" t="s">
        <v>378</v>
      </c>
      <c r="D17" t="s">
        <v>378</v>
      </c>
    </row>
    <row r="18" spans="3:4">
      <c r="C18" t="s">
        <v>378</v>
      </c>
      <c r="D18" t="s">
        <v>378</v>
      </c>
    </row>
    <row r="19" spans="3:4">
      <c r="C19" t="s">
        <v>378</v>
      </c>
      <c r="D19" t="s">
        <v>378</v>
      </c>
    </row>
    <row r="20" spans="3:4">
      <c r="C20" t="s">
        <v>378</v>
      </c>
      <c r="D20" t="s">
        <v>378</v>
      </c>
    </row>
    <row r="21" spans="3:4">
      <c r="C21" t="s">
        <v>378</v>
      </c>
      <c r="D21" t="s">
        <v>378</v>
      </c>
    </row>
    <row r="22" spans="3:4">
      <c r="C22" t="s">
        <v>378</v>
      </c>
      <c r="D22" t="s">
        <v>378</v>
      </c>
    </row>
    <row r="23" spans="3:4">
      <c r="C23" t="s">
        <v>378</v>
      </c>
      <c r="D23" t="s">
        <v>378</v>
      </c>
    </row>
    <row r="24" spans="3:4">
      <c r="C24" t="s">
        <v>378</v>
      </c>
      <c r="D24" t="s">
        <v>378</v>
      </c>
    </row>
    <row r="25" spans="3:4">
      <c r="C25" t="s">
        <v>378</v>
      </c>
      <c r="D25" t="s">
        <v>378</v>
      </c>
    </row>
    <row r="26" spans="3:4">
      <c r="C26" t="s">
        <v>378</v>
      </c>
      <c r="D26" t="s">
        <v>378</v>
      </c>
    </row>
    <row r="27" spans="3:4">
      <c r="C27" t="s">
        <v>378</v>
      </c>
      <c r="D27" t="s">
        <v>378</v>
      </c>
    </row>
    <row r="28" spans="3:4">
      <c r="C28" t="s">
        <v>378</v>
      </c>
      <c r="D28" t="s">
        <v>378</v>
      </c>
    </row>
    <row r="29" spans="3:4">
      <c r="C29" t="s">
        <v>378</v>
      </c>
      <c r="D29" t="s">
        <v>378</v>
      </c>
    </row>
    <row r="30" spans="3:4">
      <c r="C30" t="s">
        <v>378</v>
      </c>
      <c r="D30" t="s">
        <v>378</v>
      </c>
    </row>
    <row r="31" spans="3:4">
      <c r="C31" t="s">
        <v>378</v>
      </c>
      <c r="D31" t="s">
        <v>378</v>
      </c>
    </row>
    <row r="32" spans="3:4">
      <c r="C32" t="s">
        <v>378</v>
      </c>
      <c r="D32" t="s">
        <v>378</v>
      </c>
    </row>
    <row r="33" spans="3:4">
      <c r="C33" t="s">
        <v>378</v>
      </c>
      <c r="D33" t="s">
        <v>378</v>
      </c>
    </row>
    <row r="34" spans="3:4">
      <c r="C34" t="s">
        <v>378</v>
      </c>
      <c r="D34" t="s">
        <v>378</v>
      </c>
    </row>
    <row r="35" spans="3:4">
      <c r="C35" t="s">
        <v>378</v>
      </c>
      <c r="D35" t="s">
        <v>378</v>
      </c>
    </row>
    <row r="36" spans="3:4">
      <c r="C36" t="s">
        <v>378</v>
      </c>
      <c r="D36" t="s">
        <v>378</v>
      </c>
    </row>
    <row r="37" spans="3:4">
      <c r="C37" t="s">
        <v>378</v>
      </c>
      <c r="D37" t="s">
        <v>378</v>
      </c>
    </row>
    <row r="38" spans="3:4">
      <c r="C38" t="s">
        <v>378</v>
      </c>
      <c r="D38" t="s">
        <v>378</v>
      </c>
    </row>
    <row r="39" spans="3:4">
      <c r="C39" t="s">
        <v>378</v>
      </c>
      <c r="D39" t="s">
        <v>378</v>
      </c>
    </row>
    <row r="40" spans="3:4">
      <c r="C40" t="s">
        <v>378</v>
      </c>
      <c r="D40" t="s">
        <v>378</v>
      </c>
    </row>
    <row r="41" spans="3:4">
      <c r="C41" t="s">
        <v>378</v>
      </c>
      <c r="D41" t="s">
        <v>378</v>
      </c>
    </row>
    <row r="42" spans="3:4">
      <c r="C42" t="s">
        <v>378</v>
      </c>
      <c r="D42" t="s">
        <v>378</v>
      </c>
    </row>
    <row r="43" spans="3:4">
      <c r="C43" t="s">
        <v>378</v>
      </c>
      <c r="D43" t="s">
        <v>378</v>
      </c>
    </row>
    <row r="44" spans="3:4">
      <c r="C44" t="s">
        <v>378</v>
      </c>
      <c r="D44" t="s">
        <v>378</v>
      </c>
    </row>
    <row r="45" spans="3:4">
      <c r="C45" t="s">
        <v>378</v>
      </c>
      <c r="D45" t="s">
        <v>378</v>
      </c>
    </row>
    <row r="46" spans="3:4">
      <c r="C46" t="s">
        <v>378</v>
      </c>
      <c r="D46" t="s">
        <v>378</v>
      </c>
    </row>
    <row r="47" spans="3:4">
      <c r="C47" t="s">
        <v>378</v>
      </c>
      <c r="D47" t="s">
        <v>378</v>
      </c>
    </row>
    <row r="48" spans="3:4">
      <c r="C48" t="s">
        <v>378</v>
      </c>
      <c r="D48" t="s">
        <v>378</v>
      </c>
    </row>
    <row r="49" spans="3:4">
      <c r="C49" t="s">
        <v>378</v>
      </c>
      <c r="D49" t="s">
        <v>378</v>
      </c>
    </row>
    <row r="50" spans="3:4">
      <c r="C50" t="s">
        <v>378</v>
      </c>
      <c r="D50" t="s">
        <v>378</v>
      </c>
    </row>
    <row r="51" spans="3:4">
      <c r="C51" t="s">
        <v>378</v>
      </c>
      <c r="D51" t="s">
        <v>378</v>
      </c>
    </row>
    <row r="52" spans="3:4">
      <c r="C52" t="s">
        <v>378</v>
      </c>
      <c r="D52" t="s">
        <v>378</v>
      </c>
    </row>
    <row r="53" spans="3:4">
      <c r="C53" t="s">
        <v>378</v>
      </c>
      <c r="D53" t="s">
        <v>378</v>
      </c>
    </row>
    <row r="54" spans="3:4">
      <c r="C54" t="s">
        <v>378</v>
      </c>
      <c r="D54" t="s">
        <v>378</v>
      </c>
    </row>
    <row r="55" spans="3:4">
      <c r="C55" t="s">
        <v>378</v>
      </c>
      <c r="D55" t="s">
        <v>378</v>
      </c>
    </row>
    <row r="56" spans="3:4">
      <c r="C56" t="s">
        <v>378</v>
      </c>
      <c r="D56" t="s">
        <v>378</v>
      </c>
    </row>
    <row r="57" spans="3:4">
      <c r="C57" t="s">
        <v>378</v>
      </c>
      <c r="D57" t="s">
        <v>378</v>
      </c>
    </row>
    <row r="58" spans="3:4">
      <c r="C58" t="s">
        <v>378</v>
      </c>
      <c r="D58" t="s">
        <v>378</v>
      </c>
    </row>
    <row r="59" spans="3:4">
      <c r="C59" t="s">
        <v>378</v>
      </c>
      <c r="D59" t="s">
        <v>378</v>
      </c>
    </row>
    <row r="60" spans="3:4">
      <c r="C60" t="s">
        <v>378</v>
      </c>
      <c r="D60" t="s">
        <v>378</v>
      </c>
    </row>
    <row r="61" spans="3:4">
      <c r="C61" t="s">
        <v>378</v>
      </c>
      <c r="D61" t="s">
        <v>378</v>
      </c>
    </row>
    <row r="62" spans="3:4">
      <c r="C62" t="s">
        <v>378</v>
      </c>
      <c r="D62" t="s">
        <v>378</v>
      </c>
    </row>
    <row r="63" spans="3:4">
      <c r="C63" t="s">
        <v>378</v>
      </c>
      <c r="D63" t="s">
        <v>378</v>
      </c>
    </row>
    <row r="64" spans="3:4">
      <c r="C64" t="s">
        <v>378</v>
      </c>
      <c r="D64" t="s">
        <v>378</v>
      </c>
    </row>
    <row r="65" spans="3:4">
      <c r="C65" t="s">
        <v>378</v>
      </c>
      <c r="D65" t="s">
        <v>378</v>
      </c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376</v>
      </c>
      <c r="D7" t="s">
        <v>376</v>
      </c>
    </row>
    <row r="8" spans="3:4">
      <c r="C8" t="s">
        <v>376</v>
      </c>
      <c r="D8" t="s">
        <v>376</v>
      </c>
    </row>
    <row r="9" spans="3:4">
      <c r="C9" t="s">
        <v>376</v>
      </c>
      <c r="D9" t="s">
        <v>376</v>
      </c>
    </row>
    <row r="10" spans="3:4">
      <c r="C10" t="s">
        <v>376</v>
      </c>
      <c r="D10" t="s">
        <v>376</v>
      </c>
    </row>
    <row r="11" spans="3:4">
      <c r="C11" t="s">
        <v>376</v>
      </c>
      <c r="D11" t="s">
        <v>376</v>
      </c>
    </row>
    <row r="12" spans="3:4">
      <c r="C12" t="s">
        <v>376</v>
      </c>
      <c r="D12" t="s">
        <v>376</v>
      </c>
    </row>
    <row r="13" spans="3:4">
      <c r="C13" t="s">
        <v>376</v>
      </c>
      <c r="D13" t="s">
        <v>376</v>
      </c>
    </row>
    <row r="14" spans="3:4">
      <c r="C14" t="s">
        <v>376</v>
      </c>
      <c r="D14" t="s">
        <v>376</v>
      </c>
    </row>
    <row r="15" spans="3:4">
      <c r="C15" t="s">
        <v>376</v>
      </c>
      <c r="D15" t="s">
        <v>376</v>
      </c>
    </row>
    <row r="16" spans="3:4">
      <c r="C16" t="s">
        <v>376</v>
      </c>
      <c r="D16" t="s">
        <v>376</v>
      </c>
    </row>
    <row r="17" spans="3:4">
      <c r="C17" t="s">
        <v>376</v>
      </c>
      <c r="D17" t="s">
        <v>376</v>
      </c>
    </row>
    <row r="18" spans="3:4">
      <c r="C18" t="s">
        <v>376</v>
      </c>
      <c r="D18" t="s">
        <v>376</v>
      </c>
    </row>
    <row r="19" spans="3:4">
      <c r="C19" t="s">
        <v>376</v>
      </c>
      <c r="D19" t="s">
        <v>376</v>
      </c>
    </row>
    <row r="20" spans="3:4">
      <c r="C20" t="s">
        <v>376</v>
      </c>
      <c r="D20" t="s">
        <v>376</v>
      </c>
    </row>
    <row r="21" spans="3:4">
      <c r="C21" t="s">
        <v>376</v>
      </c>
      <c r="D21" t="s">
        <v>376</v>
      </c>
    </row>
    <row r="22" spans="3:4">
      <c r="C22" t="s">
        <v>376</v>
      </c>
      <c r="D22" t="s">
        <v>376</v>
      </c>
    </row>
    <row r="23" spans="3:4">
      <c r="C23" t="s">
        <v>376</v>
      </c>
      <c r="D23" t="s">
        <v>376</v>
      </c>
    </row>
    <row r="24" spans="3:4">
      <c r="C24" t="s">
        <v>376</v>
      </c>
      <c r="D24" t="s">
        <v>376</v>
      </c>
    </row>
    <row r="25" spans="3:4">
      <c r="C25" t="s">
        <v>376</v>
      </c>
      <c r="D25" t="s">
        <v>376</v>
      </c>
    </row>
    <row r="26" spans="3:4">
      <c r="C26" t="s">
        <v>376</v>
      </c>
      <c r="D26" t="s">
        <v>376</v>
      </c>
    </row>
    <row r="27" spans="3:4">
      <c r="C27" t="s">
        <v>376</v>
      </c>
      <c r="D27" t="s">
        <v>376</v>
      </c>
    </row>
    <row r="28" spans="3:4">
      <c r="C28" t="s">
        <v>376</v>
      </c>
      <c r="D28" t="s">
        <v>376</v>
      </c>
    </row>
    <row r="29" spans="3:4">
      <c r="C29" t="s">
        <v>376</v>
      </c>
      <c r="D29" t="s">
        <v>376</v>
      </c>
    </row>
    <row r="30" spans="3:4">
      <c r="C30" t="s">
        <v>376</v>
      </c>
      <c r="D30" t="s">
        <v>376</v>
      </c>
    </row>
    <row r="31" spans="3:4">
      <c r="C31" t="s">
        <v>376</v>
      </c>
      <c r="D31" t="s">
        <v>376</v>
      </c>
    </row>
    <row r="32" spans="3:4">
      <c r="C32" t="s">
        <v>376</v>
      </c>
      <c r="D32" t="s">
        <v>376</v>
      </c>
    </row>
    <row r="33" spans="3:4">
      <c r="C33" t="s">
        <v>376</v>
      </c>
      <c r="D33" t="s">
        <v>376</v>
      </c>
    </row>
    <row r="34" spans="3:4">
      <c r="C34" t="s">
        <v>376</v>
      </c>
      <c r="D34" t="s">
        <v>376</v>
      </c>
    </row>
    <row r="35" spans="3:4">
      <c r="C35" t="s">
        <v>376</v>
      </c>
      <c r="D35" t="s">
        <v>376</v>
      </c>
    </row>
    <row r="36" spans="3:4">
      <c r="C36" t="s">
        <v>376</v>
      </c>
      <c r="D36" t="s">
        <v>376</v>
      </c>
    </row>
    <row r="37" spans="3:4">
      <c r="C37" t="s">
        <v>376</v>
      </c>
      <c r="D37" t="s">
        <v>376</v>
      </c>
    </row>
    <row r="38" spans="3:4">
      <c r="C38" t="s">
        <v>376</v>
      </c>
      <c r="D38" t="s">
        <v>376</v>
      </c>
    </row>
    <row r="39" spans="3:4">
      <c r="C39" t="s">
        <v>376</v>
      </c>
      <c r="D39" t="s">
        <v>376</v>
      </c>
    </row>
    <row r="40" spans="3:4">
      <c r="C40" t="s">
        <v>376</v>
      </c>
      <c r="D40" t="s">
        <v>376</v>
      </c>
    </row>
    <row r="41" spans="3:4">
      <c r="C41" t="s">
        <v>376</v>
      </c>
      <c r="D41" t="s">
        <v>376</v>
      </c>
    </row>
    <row r="42" spans="3:4">
      <c r="C42" t="s">
        <v>376</v>
      </c>
      <c r="D42" t="s">
        <v>376</v>
      </c>
    </row>
    <row r="43" spans="3:4">
      <c r="C43" t="s">
        <v>376</v>
      </c>
      <c r="D43" t="s">
        <v>376</v>
      </c>
    </row>
    <row r="44" spans="3:4">
      <c r="C44" t="s">
        <v>376</v>
      </c>
      <c r="D44" t="s">
        <v>376</v>
      </c>
    </row>
    <row r="45" spans="3:4">
      <c r="C45" t="s">
        <v>376</v>
      </c>
      <c r="D45" t="s">
        <v>376</v>
      </c>
    </row>
    <row r="46" spans="3:4">
      <c r="C46" t="s">
        <v>376</v>
      </c>
      <c r="D46" t="s">
        <v>376</v>
      </c>
    </row>
    <row r="47" spans="3:4">
      <c r="C47" t="s">
        <v>376</v>
      </c>
      <c r="D47" t="s">
        <v>376</v>
      </c>
    </row>
    <row r="48" spans="3:4">
      <c r="C48" t="s">
        <v>376</v>
      </c>
      <c r="D48" t="s">
        <v>376</v>
      </c>
    </row>
    <row r="49" spans="3:4">
      <c r="C49" t="s">
        <v>376</v>
      </c>
      <c r="D49" t="s">
        <v>376</v>
      </c>
    </row>
    <row r="50" spans="3:4">
      <c r="C50" t="s">
        <v>376</v>
      </c>
      <c r="D50" t="s">
        <v>376</v>
      </c>
    </row>
    <row r="51" spans="3:4">
      <c r="C51" t="s">
        <v>376</v>
      </c>
      <c r="D51" t="s">
        <v>376</v>
      </c>
    </row>
    <row r="52" spans="3:4">
      <c r="C52" t="s">
        <v>376</v>
      </c>
      <c r="D52" t="s">
        <v>376</v>
      </c>
    </row>
    <row r="53" spans="3:4">
      <c r="C53" t="s">
        <v>376</v>
      </c>
      <c r="D53" t="s">
        <v>376</v>
      </c>
    </row>
    <row r="54" spans="3:4">
      <c r="C54" t="s">
        <v>376</v>
      </c>
      <c r="D54" t="s">
        <v>376</v>
      </c>
    </row>
    <row r="55" spans="3:4">
      <c r="C55" t="s">
        <v>376</v>
      </c>
      <c r="D55" t="s">
        <v>376</v>
      </c>
    </row>
    <row r="56" spans="3:4">
      <c r="C56" t="s">
        <v>376</v>
      </c>
      <c r="D56" t="s">
        <v>376</v>
      </c>
    </row>
    <row r="57" spans="3:4">
      <c r="C57" t="s">
        <v>376</v>
      </c>
      <c r="D57" t="s">
        <v>376</v>
      </c>
    </row>
    <row r="58" spans="3:4">
      <c r="C58" t="s">
        <v>376</v>
      </c>
      <c r="D58" t="s">
        <v>376</v>
      </c>
    </row>
    <row r="59" spans="3:4">
      <c r="C59" t="s">
        <v>376</v>
      </c>
      <c r="D59" t="s">
        <v>376</v>
      </c>
    </row>
    <row r="60" spans="3:4">
      <c r="C60" t="s">
        <v>376</v>
      </c>
      <c r="D60" t="s">
        <v>376</v>
      </c>
    </row>
    <row r="61" spans="3:4">
      <c r="C61" t="s">
        <v>376</v>
      </c>
      <c r="D61" t="s">
        <v>376</v>
      </c>
    </row>
    <row r="62" spans="3:4">
      <c r="C62" t="s">
        <v>376</v>
      </c>
      <c r="D62" t="s">
        <v>376</v>
      </c>
    </row>
    <row r="63" spans="3:4">
      <c r="C63" t="s">
        <v>376</v>
      </c>
      <c r="D63" t="s">
        <v>376</v>
      </c>
    </row>
    <row r="64" spans="3:4">
      <c r="C64" t="s">
        <v>376</v>
      </c>
      <c r="D64" t="s">
        <v>376</v>
      </c>
    </row>
    <row r="65" spans="3:4">
      <c r="C65" t="s">
        <v>376</v>
      </c>
      <c r="D65" t="s">
        <v>376</v>
      </c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375</v>
      </c>
      <c r="D7" t="s">
        <v>375</v>
      </c>
    </row>
    <row r="8" spans="3:4">
      <c r="C8" t="s">
        <v>375</v>
      </c>
      <c r="D8" t="s">
        <v>375</v>
      </c>
    </row>
    <row r="9" spans="3:4">
      <c r="C9" t="s">
        <v>375</v>
      </c>
      <c r="D9" t="s">
        <v>375</v>
      </c>
    </row>
    <row r="10" spans="3:4">
      <c r="C10" t="s">
        <v>375</v>
      </c>
      <c r="D10" t="s">
        <v>375</v>
      </c>
    </row>
    <row r="11" spans="3:4">
      <c r="C11" t="s">
        <v>375</v>
      </c>
      <c r="D11" t="s">
        <v>375</v>
      </c>
    </row>
    <row r="12" spans="3:4">
      <c r="C12" t="s">
        <v>375</v>
      </c>
      <c r="D12" t="s">
        <v>375</v>
      </c>
    </row>
    <row r="13" spans="3:4">
      <c r="C13" t="s">
        <v>375</v>
      </c>
      <c r="D13" t="s">
        <v>375</v>
      </c>
    </row>
    <row r="14" spans="3:4">
      <c r="C14" t="s">
        <v>375</v>
      </c>
      <c r="D14" t="s">
        <v>375</v>
      </c>
    </row>
    <row r="15" spans="3:4">
      <c r="C15" t="s">
        <v>375</v>
      </c>
      <c r="D15" t="s">
        <v>375</v>
      </c>
    </row>
    <row r="16" spans="3:4">
      <c r="C16" t="s">
        <v>375</v>
      </c>
      <c r="D16" t="s">
        <v>375</v>
      </c>
    </row>
    <row r="17" spans="3:4">
      <c r="C17" t="s">
        <v>375</v>
      </c>
      <c r="D17" t="s">
        <v>375</v>
      </c>
    </row>
    <row r="18" spans="3:4">
      <c r="C18" t="s">
        <v>375</v>
      </c>
      <c r="D18" t="s">
        <v>375</v>
      </c>
    </row>
    <row r="19" spans="3:4">
      <c r="C19" t="s">
        <v>375</v>
      </c>
      <c r="D19" t="s">
        <v>375</v>
      </c>
    </row>
    <row r="20" spans="3:4">
      <c r="C20" t="s">
        <v>375</v>
      </c>
      <c r="D20" t="s">
        <v>375</v>
      </c>
    </row>
    <row r="21" spans="3:4">
      <c r="C21" t="s">
        <v>375</v>
      </c>
      <c r="D21" t="s">
        <v>375</v>
      </c>
    </row>
    <row r="22" spans="3:4">
      <c r="C22" t="s">
        <v>375</v>
      </c>
      <c r="D22" t="s">
        <v>375</v>
      </c>
    </row>
    <row r="23" spans="3:4">
      <c r="C23" t="s">
        <v>375</v>
      </c>
      <c r="D23" t="s">
        <v>375</v>
      </c>
    </row>
    <row r="24" spans="3:4">
      <c r="C24" t="s">
        <v>375</v>
      </c>
      <c r="D24" t="s">
        <v>375</v>
      </c>
    </row>
    <row r="25" spans="3:4">
      <c r="C25" t="s">
        <v>375</v>
      </c>
      <c r="D25" t="s">
        <v>375</v>
      </c>
    </row>
    <row r="26" spans="3:4">
      <c r="C26" t="s">
        <v>375</v>
      </c>
      <c r="D26" t="s">
        <v>375</v>
      </c>
    </row>
    <row r="27" spans="3:4">
      <c r="C27" t="s">
        <v>375</v>
      </c>
      <c r="D27" t="s">
        <v>375</v>
      </c>
    </row>
    <row r="28" spans="3:4">
      <c r="C28" t="s">
        <v>375</v>
      </c>
      <c r="D28" t="s">
        <v>375</v>
      </c>
    </row>
    <row r="29" spans="3:4">
      <c r="C29" t="s">
        <v>375</v>
      </c>
      <c r="D29" t="s">
        <v>375</v>
      </c>
    </row>
    <row r="30" spans="3:4">
      <c r="C30" t="s">
        <v>375</v>
      </c>
      <c r="D30" t="s">
        <v>375</v>
      </c>
    </row>
    <row r="31" spans="3:4">
      <c r="C31" t="s">
        <v>375</v>
      </c>
      <c r="D31" t="s">
        <v>375</v>
      </c>
    </row>
    <row r="32" spans="3:4">
      <c r="C32" t="s">
        <v>375</v>
      </c>
      <c r="D32" t="s">
        <v>375</v>
      </c>
    </row>
    <row r="33" spans="3:4">
      <c r="C33" t="s">
        <v>375</v>
      </c>
      <c r="D33" t="s">
        <v>375</v>
      </c>
    </row>
    <row r="34" spans="3:4">
      <c r="C34" t="s">
        <v>375</v>
      </c>
      <c r="D34" t="s">
        <v>375</v>
      </c>
    </row>
    <row r="35" spans="3:4">
      <c r="C35" t="s">
        <v>375</v>
      </c>
      <c r="D35" t="s">
        <v>375</v>
      </c>
    </row>
    <row r="36" spans="3:4">
      <c r="C36" t="s">
        <v>375</v>
      </c>
      <c r="D36" t="s">
        <v>375</v>
      </c>
    </row>
    <row r="37" spans="3:4">
      <c r="C37" t="s">
        <v>375</v>
      </c>
      <c r="D37" t="s">
        <v>375</v>
      </c>
    </row>
    <row r="38" spans="3:4">
      <c r="C38" t="s">
        <v>375</v>
      </c>
      <c r="D38" t="s">
        <v>375</v>
      </c>
    </row>
    <row r="39" spans="3:4">
      <c r="C39" t="s">
        <v>375</v>
      </c>
      <c r="D39" t="s">
        <v>375</v>
      </c>
    </row>
    <row r="40" spans="3:4">
      <c r="C40" t="s">
        <v>375</v>
      </c>
      <c r="D40" t="s">
        <v>375</v>
      </c>
    </row>
    <row r="41" spans="3:4">
      <c r="C41" t="s">
        <v>375</v>
      </c>
      <c r="D41" t="s">
        <v>375</v>
      </c>
    </row>
    <row r="42" spans="3:4">
      <c r="C42" t="s">
        <v>375</v>
      </c>
      <c r="D42" t="s">
        <v>375</v>
      </c>
    </row>
    <row r="43" spans="3:4">
      <c r="C43" t="s">
        <v>375</v>
      </c>
      <c r="D43" t="s">
        <v>375</v>
      </c>
    </row>
    <row r="44" spans="3:4">
      <c r="C44" t="s">
        <v>375</v>
      </c>
      <c r="D44" t="s">
        <v>375</v>
      </c>
    </row>
    <row r="45" spans="3:4">
      <c r="C45" t="s">
        <v>375</v>
      </c>
      <c r="D45" t="s">
        <v>375</v>
      </c>
    </row>
    <row r="46" spans="3:4">
      <c r="C46" t="s">
        <v>375</v>
      </c>
      <c r="D46" t="s">
        <v>375</v>
      </c>
    </row>
    <row r="47" spans="3:4">
      <c r="C47" t="s">
        <v>375</v>
      </c>
      <c r="D47" t="s">
        <v>375</v>
      </c>
    </row>
    <row r="48" spans="3:4">
      <c r="C48" t="s">
        <v>375</v>
      </c>
      <c r="D48" t="s">
        <v>375</v>
      </c>
    </row>
    <row r="49" spans="3:4">
      <c r="C49" t="s">
        <v>375</v>
      </c>
      <c r="D49" t="s">
        <v>375</v>
      </c>
    </row>
    <row r="50" spans="3:4">
      <c r="C50" t="s">
        <v>375</v>
      </c>
      <c r="D50" t="s">
        <v>375</v>
      </c>
    </row>
    <row r="51" spans="3:4">
      <c r="C51" t="s">
        <v>375</v>
      </c>
      <c r="D51" t="s">
        <v>375</v>
      </c>
    </row>
    <row r="52" spans="3:4">
      <c r="C52" t="s">
        <v>375</v>
      </c>
      <c r="D52" t="s">
        <v>375</v>
      </c>
    </row>
    <row r="53" spans="3:4">
      <c r="C53" t="s">
        <v>375</v>
      </c>
      <c r="D53" t="s">
        <v>375</v>
      </c>
    </row>
    <row r="54" spans="3:4">
      <c r="C54" t="s">
        <v>375</v>
      </c>
      <c r="D54" t="s">
        <v>375</v>
      </c>
    </row>
    <row r="55" spans="3:4">
      <c r="C55" t="s">
        <v>375</v>
      </c>
      <c r="D55" t="s">
        <v>375</v>
      </c>
    </row>
    <row r="56" spans="3:4">
      <c r="C56" t="s">
        <v>375</v>
      </c>
      <c r="D56" t="s">
        <v>375</v>
      </c>
    </row>
    <row r="57" spans="3:4">
      <c r="C57" t="s">
        <v>375</v>
      </c>
      <c r="D57" t="s">
        <v>375</v>
      </c>
    </row>
    <row r="58" spans="3:4">
      <c r="C58" t="s">
        <v>375</v>
      </c>
      <c r="D58" t="s">
        <v>375</v>
      </c>
    </row>
    <row r="59" spans="3:4">
      <c r="C59" t="s">
        <v>375</v>
      </c>
      <c r="D59" t="s">
        <v>375</v>
      </c>
    </row>
    <row r="60" spans="3:4">
      <c r="C60" t="s">
        <v>375</v>
      </c>
      <c r="D60" t="s">
        <v>375</v>
      </c>
    </row>
    <row r="61" spans="3:4">
      <c r="C61" t="s">
        <v>375</v>
      </c>
      <c r="D61" t="s">
        <v>375</v>
      </c>
    </row>
    <row r="62" spans="3:4">
      <c r="C62" t="s">
        <v>375</v>
      </c>
      <c r="D62" t="s">
        <v>375</v>
      </c>
    </row>
    <row r="63" spans="3:4">
      <c r="C63" t="s">
        <v>375</v>
      </c>
      <c r="D63" t="s">
        <v>375</v>
      </c>
    </row>
    <row r="64" spans="3:4">
      <c r="C64" t="s">
        <v>375</v>
      </c>
      <c r="D64" t="s">
        <v>375</v>
      </c>
    </row>
    <row r="65" spans="3:4">
      <c r="C65" t="s">
        <v>375</v>
      </c>
      <c r="D65" t="s">
        <v>375</v>
      </c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373</v>
      </c>
      <c r="D7" t="s">
        <v>373</v>
      </c>
    </row>
    <row r="8" spans="3:4">
      <c r="C8" t="s">
        <v>373</v>
      </c>
      <c r="D8" t="s">
        <v>373</v>
      </c>
    </row>
    <row r="9" spans="3:4">
      <c r="C9" t="s">
        <v>373</v>
      </c>
      <c r="D9" t="s">
        <v>373</v>
      </c>
    </row>
    <row r="10" spans="3:4">
      <c r="C10" t="s">
        <v>373</v>
      </c>
      <c r="D10" t="s">
        <v>373</v>
      </c>
    </row>
    <row r="11" spans="3:4">
      <c r="C11" t="s">
        <v>373</v>
      </c>
      <c r="D11" t="s">
        <v>373</v>
      </c>
    </row>
    <row r="12" spans="3:4">
      <c r="C12" t="s">
        <v>373</v>
      </c>
      <c r="D12" t="s">
        <v>373</v>
      </c>
    </row>
    <row r="13" spans="3:4">
      <c r="C13" t="s">
        <v>373</v>
      </c>
      <c r="D13" t="s">
        <v>373</v>
      </c>
    </row>
    <row r="14" spans="3:4">
      <c r="C14" t="s">
        <v>373</v>
      </c>
      <c r="D14" t="s">
        <v>373</v>
      </c>
    </row>
    <row r="15" spans="3:4">
      <c r="C15" t="s">
        <v>373</v>
      </c>
      <c r="D15" t="s">
        <v>373</v>
      </c>
    </row>
    <row r="16" spans="3:4">
      <c r="C16" t="s">
        <v>373</v>
      </c>
      <c r="D16" t="s">
        <v>373</v>
      </c>
    </row>
    <row r="17" spans="3:4">
      <c r="C17" t="s">
        <v>373</v>
      </c>
      <c r="D17" t="s">
        <v>373</v>
      </c>
    </row>
    <row r="18" spans="3:4">
      <c r="C18" t="s">
        <v>373</v>
      </c>
      <c r="D18" t="s">
        <v>373</v>
      </c>
    </row>
    <row r="19" spans="3:4">
      <c r="C19" t="s">
        <v>373</v>
      </c>
      <c r="D19" t="s">
        <v>373</v>
      </c>
    </row>
    <row r="20" spans="3:4">
      <c r="C20" t="s">
        <v>373</v>
      </c>
      <c r="D20" t="s">
        <v>373</v>
      </c>
    </row>
    <row r="21" spans="3:4">
      <c r="C21" t="s">
        <v>373</v>
      </c>
      <c r="D21" t="s">
        <v>373</v>
      </c>
    </row>
    <row r="22" spans="3:4">
      <c r="C22" t="s">
        <v>373</v>
      </c>
      <c r="D22" t="s">
        <v>373</v>
      </c>
    </row>
    <row r="23" spans="3:4">
      <c r="C23" t="s">
        <v>373</v>
      </c>
      <c r="D23" t="s">
        <v>373</v>
      </c>
    </row>
    <row r="24" spans="3:4">
      <c r="C24" t="s">
        <v>373</v>
      </c>
      <c r="D24" t="s">
        <v>373</v>
      </c>
    </row>
    <row r="25" spans="3:4">
      <c r="C25" t="s">
        <v>373</v>
      </c>
      <c r="D25" t="s">
        <v>373</v>
      </c>
    </row>
    <row r="26" spans="3:4">
      <c r="C26" t="s">
        <v>373</v>
      </c>
      <c r="D26" t="s">
        <v>373</v>
      </c>
    </row>
    <row r="27" spans="3:4">
      <c r="C27" t="s">
        <v>373</v>
      </c>
      <c r="D27" t="s">
        <v>373</v>
      </c>
    </row>
    <row r="28" spans="3:4">
      <c r="C28" t="s">
        <v>373</v>
      </c>
      <c r="D28" t="s">
        <v>373</v>
      </c>
    </row>
    <row r="29" spans="3:4">
      <c r="C29" t="s">
        <v>373</v>
      </c>
      <c r="D29" t="s">
        <v>373</v>
      </c>
    </row>
    <row r="30" spans="3:4">
      <c r="C30" t="s">
        <v>373</v>
      </c>
      <c r="D30" t="s">
        <v>373</v>
      </c>
    </row>
    <row r="31" spans="3:4">
      <c r="C31" t="s">
        <v>373</v>
      </c>
      <c r="D31" t="s">
        <v>373</v>
      </c>
    </row>
    <row r="32" spans="3:4">
      <c r="C32" t="s">
        <v>373</v>
      </c>
      <c r="D32" t="s">
        <v>373</v>
      </c>
    </row>
    <row r="33" spans="3:4">
      <c r="C33" t="s">
        <v>373</v>
      </c>
      <c r="D33" t="s">
        <v>373</v>
      </c>
    </row>
    <row r="34" spans="3:4">
      <c r="C34" t="s">
        <v>373</v>
      </c>
      <c r="D34" t="s">
        <v>373</v>
      </c>
    </row>
    <row r="35" spans="3:4">
      <c r="C35" t="s">
        <v>373</v>
      </c>
      <c r="D35" t="s">
        <v>373</v>
      </c>
    </row>
    <row r="36" spans="3:4">
      <c r="C36" t="s">
        <v>373</v>
      </c>
      <c r="D36" t="s">
        <v>373</v>
      </c>
    </row>
    <row r="37" spans="3:4">
      <c r="C37" t="s">
        <v>373</v>
      </c>
      <c r="D37" t="s">
        <v>373</v>
      </c>
    </row>
    <row r="38" spans="3:4">
      <c r="C38" t="s">
        <v>373</v>
      </c>
      <c r="D38" t="s">
        <v>373</v>
      </c>
    </row>
    <row r="39" spans="3:4">
      <c r="C39" t="s">
        <v>373</v>
      </c>
      <c r="D39" t="s">
        <v>373</v>
      </c>
    </row>
    <row r="40" spans="3:4">
      <c r="C40" t="s">
        <v>373</v>
      </c>
      <c r="D40" t="s">
        <v>373</v>
      </c>
    </row>
    <row r="41" spans="3:4">
      <c r="C41" t="s">
        <v>373</v>
      </c>
      <c r="D41" t="s">
        <v>373</v>
      </c>
    </row>
    <row r="42" spans="3:4">
      <c r="C42" t="s">
        <v>373</v>
      </c>
      <c r="D42" t="s">
        <v>373</v>
      </c>
    </row>
    <row r="43" spans="3:4">
      <c r="C43" t="s">
        <v>373</v>
      </c>
      <c r="D43" t="s">
        <v>373</v>
      </c>
    </row>
    <row r="44" spans="3:4">
      <c r="C44" t="s">
        <v>373</v>
      </c>
      <c r="D44" t="s">
        <v>373</v>
      </c>
    </row>
    <row r="45" spans="3:4">
      <c r="C45" t="s">
        <v>373</v>
      </c>
      <c r="D45" t="s">
        <v>373</v>
      </c>
    </row>
    <row r="46" spans="3:4">
      <c r="C46" t="s">
        <v>373</v>
      </c>
      <c r="D46" t="s">
        <v>373</v>
      </c>
    </row>
    <row r="47" spans="3:4">
      <c r="C47" t="s">
        <v>373</v>
      </c>
      <c r="D47" t="s">
        <v>373</v>
      </c>
    </row>
    <row r="48" spans="3:4">
      <c r="C48" t="s">
        <v>373</v>
      </c>
      <c r="D48" t="s">
        <v>373</v>
      </c>
    </row>
    <row r="49" spans="3:4">
      <c r="C49" t="s">
        <v>373</v>
      </c>
      <c r="D49" t="s">
        <v>373</v>
      </c>
    </row>
    <row r="50" spans="3:4">
      <c r="C50" t="s">
        <v>373</v>
      </c>
      <c r="D50" t="s">
        <v>373</v>
      </c>
    </row>
    <row r="51" spans="3:4">
      <c r="C51" t="s">
        <v>373</v>
      </c>
      <c r="D51" t="s">
        <v>373</v>
      </c>
    </row>
    <row r="52" spans="3:4">
      <c r="C52" t="s">
        <v>373</v>
      </c>
      <c r="D52" t="s">
        <v>373</v>
      </c>
    </row>
    <row r="53" spans="3:4">
      <c r="C53" t="s">
        <v>373</v>
      </c>
      <c r="D53" t="s">
        <v>373</v>
      </c>
    </row>
    <row r="54" spans="3:4">
      <c r="C54" t="s">
        <v>373</v>
      </c>
      <c r="D54" t="s">
        <v>373</v>
      </c>
    </row>
    <row r="55" spans="3:4">
      <c r="C55" t="s">
        <v>373</v>
      </c>
      <c r="D55" t="s">
        <v>373</v>
      </c>
    </row>
    <row r="56" spans="3:4">
      <c r="C56" t="s">
        <v>373</v>
      </c>
      <c r="D56" t="s">
        <v>373</v>
      </c>
    </row>
    <row r="57" spans="3:4">
      <c r="C57" t="s">
        <v>373</v>
      </c>
      <c r="D57" t="s">
        <v>373</v>
      </c>
    </row>
    <row r="58" spans="3:4">
      <c r="C58" t="s">
        <v>373</v>
      </c>
      <c r="D58" t="s">
        <v>373</v>
      </c>
    </row>
    <row r="59" spans="3:4">
      <c r="C59" t="s">
        <v>373</v>
      </c>
      <c r="D59" t="s">
        <v>373</v>
      </c>
    </row>
    <row r="60" spans="3:4">
      <c r="C60" t="s">
        <v>373</v>
      </c>
      <c r="D60" t="s">
        <v>373</v>
      </c>
    </row>
    <row r="61" spans="3:4">
      <c r="C61" t="s">
        <v>373</v>
      </c>
      <c r="D61" t="s">
        <v>373</v>
      </c>
    </row>
    <row r="62" spans="3:4">
      <c r="C62" t="s">
        <v>373</v>
      </c>
      <c r="D62" t="s">
        <v>373</v>
      </c>
    </row>
    <row r="63" spans="3:4">
      <c r="C63" t="s">
        <v>373</v>
      </c>
      <c r="D63" t="s">
        <v>373</v>
      </c>
    </row>
    <row r="64" spans="3:4">
      <c r="C64" t="s">
        <v>373</v>
      </c>
      <c r="D64" t="s">
        <v>373</v>
      </c>
    </row>
    <row r="65" spans="3:4">
      <c r="C65" t="s">
        <v>373</v>
      </c>
      <c r="D65" t="s">
        <v>373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261"/>
  <sheetViews>
    <sheetView workbookViewId="0">
      <selection activeCell="A63" sqref="A63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10.140625" customWidth="1"/>
    <col min="8" max="8" width="9.140625" customWidth="1"/>
    <col min="9" max="9" width="11.7109375" customWidth="1"/>
    <col min="10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228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8097605.6000000006</v>
      </c>
      <c r="D8" s="11">
        <f>D9+D11+D14+D15</f>
        <v>7979279.0199999996</v>
      </c>
    </row>
    <row r="9" spans="1:4" ht="30">
      <c r="A9" s="12" t="s">
        <v>90</v>
      </c>
      <c r="B9" s="13" t="s">
        <v>91</v>
      </c>
      <c r="C9" s="14">
        <f>6940321.19</f>
        <v>6940321.1900000004</v>
      </c>
      <c r="D9" s="15">
        <f>6700209.14</f>
        <v>6700209.1399999997</v>
      </c>
    </row>
    <row r="10" spans="1:4">
      <c r="A10" s="16" t="s">
        <v>92</v>
      </c>
      <c r="B10" s="17" t="s">
        <v>93</v>
      </c>
      <c r="C10" s="18">
        <f>4218623.31029186</f>
        <v>4218623.3102918603</v>
      </c>
      <c r="D10" s="19">
        <f>_21h_E12</f>
        <v>4218623.3102918603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1157284.4099999999</v>
      </c>
      <c r="D15" s="15">
        <f>SUM(D16:D24)</f>
        <v>1279069.8799999999</v>
      </c>
    </row>
    <row r="16" spans="1:4">
      <c r="A16" s="22" t="s">
        <v>103</v>
      </c>
      <c r="B16" s="17" t="s">
        <v>104</v>
      </c>
      <c r="C16" s="111">
        <v>847816.92</v>
      </c>
      <c r="D16" s="113">
        <v>928115.52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163566.12</f>
        <v>163566.12</v>
      </c>
      <c r="D18" s="19">
        <f>205042.76</f>
        <v>205042.76</v>
      </c>
    </row>
    <row r="19" spans="1:4">
      <c r="A19" s="22" t="s">
        <v>109</v>
      </c>
      <c r="B19" s="17" t="s">
        <v>110</v>
      </c>
      <c r="C19" s="18">
        <f>27797.22</f>
        <v>27797.22</v>
      </c>
      <c r="D19" s="19">
        <f>27815.88</f>
        <v>27815.88</v>
      </c>
    </row>
    <row r="20" spans="1:4">
      <c r="A20" s="22" t="s">
        <v>111</v>
      </c>
      <c r="B20" s="17" t="s">
        <v>112</v>
      </c>
      <c r="C20" s="18">
        <f>19379.42</f>
        <v>19379.419999999998</v>
      </c>
      <c r="D20" s="19">
        <f>19370.99</f>
        <v>19370.990000000002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98724.73</f>
        <v>98724.73</v>
      </c>
      <c r="D22" s="19">
        <f>98724.73</f>
        <v>98724.73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3778028.5999999996</v>
      </c>
      <c r="D25" s="15">
        <f>D26+D27+D30+D28+D29+D31</f>
        <v>2988607.38</v>
      </c>
    </row>
    <row r="26" spans="1:4" ht="23.25" customHeight="1">
      <c r="A26" s="24" t="s">
        <v>123</v>
      </c>
      <c r="B26" s="20" t="s">
        <v>124</v>
      </c>
      <c r="C26" s="18">
        <f>1329012.36</f>
        <v>1329012.3600000001</v>
      </c>
      <c r="D26" s="19">
        <f>1329012.36</f>
        <v>1329012.3600000001</v>
      </c>
    </row>
    <row r="27" spans="1:4" ht="45">
      <c r="A27" s="24" t="s">
        <v>125</v>
      </c>
      <c r="B27" s="20" t="s">
        <v>126</v>
      </c>
      <c r="C27" s="18">
        <f>108992.4</f>
        <v>108992.4</v>
      </c>
      <c r="D27" s="19">
        <f>108916.3</f>
        <v>108916.3</v>
      </c>
    </row>
    <row r="28" spans="1:4" ht="30.7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140315.52</f>
        <v>140315.51999999999</v>
      </c>
      <c r="D29" s="19">
        <f>139088.77</f>
        <v>139088.76999999999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1382796.3199999998</v>
      </c>
      <c r="D31" s="15">
        <f>SUM(D32:D39)</f>
        <v>594677.94999999995</v>
      </c>
    </row>
    <row r="32" spans="1:4" ht="21" customHeight="1">
      <c r="A32" s="24" t="s">
        <v>135</v>
      </c>
      <c r="B32" s="17" t="s">
        <v>136</v>
      </c>
      <c r="C32" s="18">
        <f>91894.23</f>
        <v>91894.23</v>
      </c>
      <c r="D32" s="19">
        <f>91894.28</f>
        <v>91894.28</v>
      </c>
    </row>
    <row r="33" spans="1:7">
      <c r="A33" s="24" t="s">
        <v>137</v>
      </c>
      <c r="B33" s="17" t="s">
        <v>138</v>
      </c>
      <c r="C33" s="18">
        <f>147914.4</f>
        <v>147914.4</v>
      </c>
      <c r="D33" s="19">
        <f>136281.97</f>
        <v>136281.97</v>
      </c>
    </row>
    <row r="34" spans="1:7">
      <c r="A34" s="24" t="s">
        <v>139</v>
      </c>
      <c r="B34" s="17" t="s">
        <v>140</v>
      </c>
      <c r="C34" s="18">
        <f>261496.08</f>
        <v>261496.08</v>
      </c>
      <c r="D34" s="19">
        <f>258489.71</f>
        <v>258489.71</v>
      </c>
    </row>
    <row r="35" spans="1:7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7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7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7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7" ht="30">
      <c r="A39" s="24" t="s">
        <v>476</v>
      </c>
      <c r="B39" s="17" t="s">
        <v>150</v>
      </c>
      <c r="C39" s="18">
        <v>881491.61</v>
      </c>
      <c r="D39" s="105">
        <v>108011.99</v>
      </c>
      <c r="G39" s="87"/>
    </row>
    <row r="40" spans="1:7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7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7">
      <c r="A42" s="8" t="s">
        <v>155</v>
      </c>
      <c r="B42" s="9" t="s">
        <v>156</v>
      </c>
      <c r="C42" s="26">
        <v>35229.56</v>
      </c>
      <c r="D42" s="27">
        <v>35229.56</v>
      </c>
    </row>
    <row r="43" spans="1:7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7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7">
      <c r="A45" s="8" t="s">
        <v>161</v>
      </c>
      <c r="B45" s="9" t="s">
        <v>162</v>
      </c>
      <c r="C45" s="26">
        <f>SUM(C46:C48)</f>
        <v>83954.280000000013</v>
      </c>
      <c r="D45" s="27">
        <f>SUM(D46:D48)</f>
        <v>724807.61999999988</v>
      </c>
    </row>
    <row r="46" spans="1:7">
      <c r="A46" s="21" t="s">
        <v>163</v>
      </c>
      <c r="B46" s="17" t="s">
        <v>164</v>
      </c>
      <c r="C46" s="18">
        <f>81312.96</f>
        <v>81312.960000000006</v>
      </c>
      <c r="D46" s="19">
        <f>90083.96</f>
        <v>90083.96</v>
      </c>
    </row>
    <row r="47" spans="1:7">
      <c r="A47" s="21" t="s">
        <v>149</v>
      </c>
      <c r="B47" s="17" t="s">
        <v>165</v>
      </c>
      <c r="C47" s="18">
        <f>0</f>
        <v>0</v>
      </c>
      <c r="D47" s="19">
        <v>632082.34</v>
      </c>
    </row>
    <row r="48" spans="1:7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948504.96</f>
        <v>948504.96</v>
      </c>
      <c r="D49" s="30">
        <f>1215399.42</f>
        <v>1215399.42</v>
      </c>
    </row>
    <row r="50" spans="1:4">
      <c r="A50" s="8" t="s">
        <v>169</v>
      </c>
      <c r="B50" s="9" t="s">
        <v>170</v>
      </c>
      <c r="C50" s="14">
        <f>C8+C25+C40+C41+C42+C43+C44+C45+C49+C51+C52</f>
        <v>12943323</v>
      </c>
      <c r="D50" s="15">
        <f>D8+D25+D40+D41+D42+D43+D44+D45+D49+D51+D52</f>
        <v>12943322.999999998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7827621.7799999993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7304703.18</f>
        <v>7304703.1799999997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522918.6</f>
        <v>522918.6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3934308.06</f>
        <v>3934308.06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11761929.84</v>
      </c>
      <c r="D59" s="27">
        <f>D54+D57+D58</f>
        <v>0</v>
      </c>
    </row>
    <row r="60" spans="1:4" ht="25.5">
      <c r="A60" s="33" t="s">
        <v>188</v>
      </c>
      <c r="B60" s="9"/>
      <c r="C60" s="34">
        <v>48045</v>
      </c>
      <c r="D60" s="35">
        <v>48045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371</v>
      </c>
      <c r="D7" t="s">
        <v>371</v>
      </c>
    </row>
    <row r="8" spans="3:4">
      <c r="C8" t="s">
        <v>371</v>
      </c>
      <c r="D8" t="s">
        <v>371</v>
      </c>
    </row>
    <row r="9" spans="3:4">
      <c r="C9" t="s">
        <v>371</v>
      </c>
      <c r="D9" t="s">
        <v>371</v>
      </c>
    </row>
    <row r="10" spans="3:4">
      <c r="C10" t="s">
        <v>371</v>
      </c>
      <c r="D10" t="s">
        <v>371</v>
      </c>
    </row>
    <row r="11" spans="3:4">
      <c r="C11" t="s">
        <v>371</v>
      </c>
      <c r="D11" t="s">
        <v>371</v>
      </c>
    </row>
    <row r="12" spans="3:4">
      <c r="C12" t="s">
        <v>371</v>
      </c>
      <c r="D12" t="s">
        <v>371</v>
      </c>
    </row>
    <row r="13" spans="3:4">
      <c r="C13" t="s">
        <v>371</v>
      </c>
      <c r="D13" t="s">
        <v>371</v>
      </c>
    </row>
    <row r="14" spans="3:4">
      <c r="C14" t="s">
        <v>371</v>
      </c>
      <c r="D14" t="s">
        <v>371</v>
      </c>
    </row>
    <row r="15" spans="3:4">
      <c r="C15" t="s">
        <v>371</v>
      </c>
      <c r="D15" t="s">
        <v>371</v>
      </c>
    </row>
    <row r="16" spans="3:4">
      <c r="C16" t="s">
        <v>371</v>
      </c>
      <c r="D16" t="s">
        <v>371</v>
      </c>
    </row>
    <row r="17" spans="3:4">
      <c r="C17" t="s">
        <v>371</v>
      </c>
      <c r="D17" t="s">
        <v>371</v>
      </c>
    </row>
    <row r="18" spans="3:4">
      <c r="C18" t="s">
        <v>371</v>
      </c>
      <c r="D18" t="s">
        <v>371</v>
      </c>
    </row>
    <row r="19" spans="3:4">
      <c r="C19" t="s">
        <v>371</v>
      </c>
      <c r="D19" t="s">
        <v>371</v>
      </c>
    </row>
    <row r="20" spans="3:4">
      <c r="C20" t="s">
        <v>371</v>
      </c>
      <c r="D20" t="s">
        <v>371</v>
      </c>
    </row>
    <row r="21" spans="3:4">
      <c r="C21" t="s">
        <v>371</v>
      </c>
      <c r="D21" t="s">
        <v>371</v>
      </c>
    </row>
    <row r="22" spans="3:4">
      <c r="C22" t="s">
        <v>371</v>
      </c>
      <c r="D22" t="s">
        <v>371</v>
      </c>
    </row>
    <row r="23" spans="3:4">
      <c r="C23" t="s">
        <v>371</v>
      </c>
      <c r="D23" t="s">
        <v>371</v>
      </c>
    </row>
    <row r="24" spans="3:4">
      <c r="C24" t="s">
        <v>371</v>
      </c>
      <c r="D24" t="s">
        <v>371</v>
      </c>
    </row>
    <row r="25" spans="3:4">
      <c r="C25" t="s">
        <v>371</v>
      </c>
      <c r="D25" t="s">
        <v>371</v>
      </c>
    </row>
    <row r="26" spans="3:4">
      <c r="C26" t="s">
        <v>371</v>
      </c>
      <c r="D26" t="s">
        <v>371</v>
      </c>
    </row>
    <row r="27" spans="3:4">
      <c r="C27" t="s">
        <v>371</v>
      </c>
      <c r="D27" t="s">
        <v>371</v>
      </c>
    </row>
    <row r="28" spans="3:4">
      <c r="C28" t="s">
        <v>371</v>
      </c>
      <c r="D28" t="s">
        <v>371</v>
      </c>
    </row>
    <row r="29" spans="3:4">
      <c r="C29" t="s">
        <v>371</v>
      </c>
      <c r="D29" t="s">
        <v>371</v>
      </c>
    </row>
    <row r="30" spans="3:4">
      <c r="C30" t="s">
        <v>371</v>
      </c>
      <c r="D30" t="s">
        <v>371</v>
      </c>
    </row>
    <row r="31" spans="3:4">
      <c r="C31" t="s">
        <v>371</v>
      </c>
      <c r="D31" t="s">
        <v>371</v>
      </c>
    </row>
    <row r="32" spans="3:4">
      <c r="C32" t="s">
        <v>371</v>
      </c>
      <c r="D32" t="s">
        <v>371</v>
      </c>
    </row>
    <row r="33" spans="3:4">
      <c r="C33" t="s">
        <v>371</v>
      </c>
      <c r="D33" t="s">
        <v>371</v>
      </c>
    </row>
    <row r="34" spans="3:4">
      <c r="C34" t="s">
        <v>371</v>
      </c>
      <c r="D34" t="s">
        <v>371</v>
      </c>
    </row>
    <row r="35" spans="3:4">
      <c r="C35" t="s">
        <v>371</v>
      </c>
      <c r="D35" t="s">
        <v>371</v>
      </c>
    </row>
    <row r="36" spans="3:4">
      <c r="C36" t="s">
        <v>371</v>
      </c>
      <c r="D36" t="s">
        <v>371</v>
      </c>
    </row>
    <row r="37" spans="3:4">
      <c r="C37" t="s">
        <v>371</v>
      </c>
      <c r="D37" t="s">
        <v>371</v>
      </c>
    </row>
    <row r="38" spans="3:4">
      <c r="C38" t="s">
        <v>371</v>
      </c>
      <c r="D38" t="s">
        <v>371</v>
      </c>
    </row>
    <row r="39" spans="3:4">
      <c r="C39" t="s">
        <v>371</v>
      </c>
      <c r="D39" t="s">
        <v>371</v>
      </c>
    </row>
    <row r="40" spans="3:4">
      <c r="C40" t="s">
        <v>371</v>
      </c>
      <c r="D40" t="s">
        <v>371</v>
      </c>
    </row>
    <row r="41" spans="3:4">
      <c r="C41" t="s">
        <v>371</v>
      </c>
      <c r="D41" t="s">
        <v>371</v>
      </c>
    </row>
    <row r="42" spans="3:4">
      <c r="C42" t="s">
        <v>371</v>
      </c>
      <c r="D42" t="s">
        <v>371</v>
      </c>
    </row>
    <row r="43" spans="3:4">
      <c r="C43" t="s">
        <v>371</v>
      </c>
      <c r="D43" t="s">
        <v>371</v>
      </c>
    </row>
    <row r="44" spans="3:4">
      <c r="C44" t="s">
        <v>371</v>
      </c>
      <c r="D44" t="s">
        <v>371</v>
      </c>
    </row>
    <row r="45" spans="3:4">
      <c r="C45" t="s">
        <v>371</v>
      </c>
      <c r="D45" t="s">
        <v>371</v>
      </c>
    </row>
    <row r="46" spans="3:4">
      <c r="C46" t="s">
        <v>371</v>
      </c>
      <c r="D46" t="s">
        <v>371</v>
      </c>
    </row>
    <row r="47" spans="3:4">
      <c r="C47" t="s">
        <v>371</v>
      </c>
      <c r="D47" t="s">
        <v>371</v>
      </c>
    </row>
    <row r="48" spans="3:4">
      <c r="C48" t="s">
        <v>371</v>
      </c>
      <c r="D48" t="s">
        <v>371</v>
      </c>
    </row>
    <row r="49" spans="3:4">
      <c r="C49" t="s">
        <v>371</v>
      </c>
      <c r="D49" t="s">
        <v>371</v>
      </c>
    </row>
    <row r="50" spans="3:4">
      <c r="C50" t="s">
        <v>371</v>
      </c>
      <c r="D50" t="s">
        <v>371</v>
      </c>
    </row>
    <row r="51" spans="3:4">
      <c r="C51" t="s">
        <v>371</v>
      </c>
      <c r="D51" t="s">
        <v>371</v>
      </c>
    </row>
    <row r="52" spans="3:4">
      <c r="C52" t="s">
        <v>371</v>
      </c>
      <c r="D52" t="s">
        <v>371</v>
      </c>
    </row>
    <row r="53" spans="3:4">
      <c r="C53" t="s">
        <v>371</v>
      </c>
      <c r="D53" t="s">
        <v>371</v>
      </c>
    </row>
    <row r="54" spans="3:4">
      <c r="C54" t="s">
        <v>371</v>
      </c>
      <c r="D54" t="s">
        <v>371</v>
      </c>
    </row>
    <row r="55" spans="3:4">
      <c r="C55" t="s">
        <v>371</v>
      </c>
      <c r="D55" t="s">
        <v>371</v>
      </c>
    </row>
    <row r="56" spans="3:4">
      <c r="C56" t="s">
        <v>371</v>
      </c>
      <c r="D56" t="s">
        <v>371</v>
      </c>
    </row>
    <row r="57" spans="3:4">
      <c r="C57" t="s">
        <v>371</v>
      </c>
      <c r="D57" t="s">
        <v>371</v>
      </c>
    </row>
    <row r="58" spans="3:4">
      <c r="C58" t="s">
        <v>371</v>
      </c>
      <c r="D58" t="s">
        <v>371</v>
      </c>
    </row>
    <row r="59" spans="3:4">
      <c r="C59" t="s">
        <v>371</v>
      </c>
      <c r="D59" t="s">
        <v>371</v>
      </c>
    </row>
    <row r="60" spans="3:4">
      <c r="C60" t="s">
        <v>371</v>
      </c>
      <c r="D60" t="s">
        <v>371</v>
      </c>
    </row>
    <row r="61" spans="3:4">
      <c r="C61" t="s">
        <v>371</v>
      </c>
      <c r="D61" t="s">
        <v>371</v>
      </c>
    </row>
    <row r="62" spans="3:4">
      <c r="C62" t="s">
        <v>371</v>
      </c>
      <c r="D62" t="s">
        <v>371</v>
      </c>
    </row>
    <row r="63" spans="3:4">
      <c r="C63" t="s">
        <v>371</v>
      </c>
      <c r="D63" t="s">
        <v>371</v>
      </c>
    </row>
    <row r="64" spans="3:4">
      <c r="C64" t="s">
        <v>371</v>
      </c>
      <c r="D64" t="s">
        <v>371</v>
      </c>
    </row>
    <row r="65" spans="3:4">
      <c r="C65" t="s">
        <v>371</v>
      </c>
      <c r="D65" t="s">
        <v>371</v>
      </c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370</v>
      </c>
      <c r="D7" t="s">
        <v>370</v>
      </c>
    </row>
    <row r="8" spans="3:4">
      <c r="C8" t="s">
        <v>370</v>
      </c>
      <c r="D8" t="s">
        <v>370</v>
      </c>
    </row>
    <row r="9" spans="3:4">
      <c r="C9" t="s">
        <v>370</v>
      </c>
      <c r="D9" t="s">
        <v>370</v>
      </c>
    </row>
    <row r="10" spans="3:4">
      <c r="C10" t="s">
        <v>370</v>
      </c>
      <c r="D10" t="s">
        <v>370</v>
      </c>
    </row>
    <row r="11" spans="3:4">
      <c r="C11" t="s">
        <v>370</v>
      </c>
      <c r="D11" t="s">
        <v>370</v>
      </c>
    </row>
    <row r="12" spans="3:4">
      <c r="C12" t="s">
        <v>370</v>
      </c>
      <c r="D12" t="s">
        <v>370</v>
      </c>
    </row>
    <row r="13" spans="3:4">
      <c r="C13" t="s">
        <v>370</v>
      </c>
      <c r="D13" t="s">
        <v>370</v>
      </c>
    </row>
    <row r="14" spans="3:4">
      <c r="C14" t="s">
        <v>370</v>
      </c>
      <c r="D14" t="s">
        <v>370</v>
      </c>
    </row>
    <row r="15" spans="3:4">
      <c r="C15" t="s">
        <v>370</v>
      </c>
      <c r="D15" t="s">
        <v>370</v>
      </c>
    </row>
    <row r="16" spans="3:4">
      <c r="C16" t="s">
        <v>370</v>
      </c>
      <c r="D16" t="s">
        <v>370</v>
      </c>
    </row>
    <row r="17" spans="3:4">
      <c r="C17" t="s">
        <v>370</v>
      </c>
      <c r="D17" t="s">
        <v>370</v>
      </c>
    </row>
    <row r="18" spans="3:4">
      <c r="C18" t="s">
        <v>370</v>
      </c>
      <c r="D18" t="s">
        <v>370</v>
      </c>
    </row>
    <row r="19" spans="3:4">
      <c r="C19" t="s">
        <v>370</v>
      </c>
      <c r="D19" t="s">
        <v>370</v>
      </c>
    </row>
    <row r="20" spans="3:4">
      <c r="C20" t="s">
        <v>370</v>
      </c>
      <c r="D20" t="s">
        <v>370</v>
      </c>
    </row>
    <row r="21" spans="3:4">
      <c r="C21" t="s">
        <v>370</v>
      </c>
      <c r="D21" t="s">
        <v>370</v>
      </c>
    </row>
    <row r="22" spans="3:4">
      <c r="C22" t="s">
        <v>370</v>
      </c>
      <c r="D22" t="s">
        <v>370</v>
      </c>
    </row>
    <row r="23" spans="3:4">
      <c r="C23" t="s">
        <v>370</v>
      </c>
      <c r="D23" t="s">
        <v>370</v>
      </c>
    </row>
    <row r="24" spans="3:4">
      <c r="C24" t="s">
        <v>370</v>
      </c>
      <c r="D24" t="s">
        <v>370</v>
      </c>
    </row>
    <row r="25" spans="3:4">
      <c r="C25" t="s">
        <v>370</v>
      </c>
      <c r="D25" t="s">
        <v>370</v>
      </c>
    </row>
    <row r="26" spans="3:4">
      <c r="C26" t="s">
        <v>370</v>
      </c>
      <c r="D26" t="s">
        <v>370</v>
      </c>
    </row>
    <row r="27" spans="3:4">
      <c r="C27" t="s">
        <v>370</v>
      </c>
      <c r="D27" t="s">
        <v>370</v>
      </c>
    </row>
    <row r="28" spans="3:4">
      <c r="C28" t="s">
        <v>370</v>
      </c>
      <c r="D28" t="s">
        <v>370</v>
      </c>
    </row>
    <row r="29" spans="3:4">
      <c r="C29" t="s">
        <v>370</v>
      </c>
      <c r="D29" t="s">
        <v>370</v>
      </c>
    </row>
    <row r="30" spans="3:4">
      <c r="C30" t="s">
        <v>370</v>
      </c>
      <c r="D30" t="s">
        <v>370</v>
      </c>
    </row>
    <row r="31" spans="3:4">
      <c r="C31" t="s">
        <v>370</v>
      </c>
      <c r="D31" t="s">
        <v>370</v>
      </c>
    </row>
    <row r="32" spans="3:4">
      <c r="C32" t="s">
        <v>370</v>
      </c>
      <c r="D32" t="s">
        <v>370</v>
      </c>
    </row>
    <row r="33" spans="3:4">
      <c r="C33" t="s">
        <v>370</v>
      </c>
      <c r="D33" t="s">
        <v>370</v>
      </c>
    </row>
    <row r="34" spans="3:4">
      <c r="C34" t="s">
        <v>370</v>
      </c>
      <c r="D34" t="s">
        <v>370</v>
      </c>
    </row>
    <row r="35" spans="3:4">
      <c r="C35" t="s">
        <v>370</v>
      </c>
      <c r="D35" t="s">
        <v>370</v>
      </c>
    </row>
    <row r="36" spans="3:4">
      <c r="C36" t="s">
        <v>370</v>
      </c>
      <c r="D36" t="s">
        <v>370</v>
      </c>
    </row>
    <row r="37" spans="3:4">
      <c r="C37" t="s">
        <v>370</v>
      </c>
      <c r="D37" t="s">
        <v>370</v>
      </c>
    </row>
    <row r="38" spans="3:4">
      <c r="C38" t="s">
        <v>370</v>
      </c>
      <c r="D38" t="s">
        <v>370</v>
      </c>
    </row>
    <row r="39" spans="3:4">
      <c r="C39" t="s">
        <v>370</v>
      </c>
      <c r="D39" t="s">
        <v>370</v>
      </c>
    </row>
    <row r="40" spans="3:4">
      <c r="C40" t="s">
        <v>370</v>
      </c>
      <c r="D40" t="s">
        <v>370</v>
      </c>
    </row>
    <row r="41" spans="3:4">
      <c r="C41" t="s">
        <v>370</v>
      </c>
      <c r="D41" t="s">
        <v>370</v>
      </c>
    </row>
    <row r="42" spans="3:4">
      <c r="C42" t="s">
        <v>370</v>
      </c>
      <c r="D42" t="s">
        <v>370</v>
      </c>
    </row>
    <row r="43" spans="3:4">
      <c r="C43" t="s">
        <v>370</v>
      </c>
      <c r="D43" t="s">
        <v>370</v>
      </c>
    </row>
    <row r="44" spans="3:4">
      <c r="C44" t="s">
        <v>370</v>
      </c>
      <c r="D44" t="s">
        <v>370</v>
      </c>
    </row>
    <row r="45" spans="3:4">
      <c r="C45" t="s">
        <v>370</v>
      </c>
      <c r="D45" t="s">
        <v>370</v>
      </c>
    </row>
    <row r="46" spans="3:4">
      <c r="C46" t="s">
        <v>370</v>
      </c>
      <c r="D46" t="s">
        <v>370</v>
      </c>
    </row>
    <row r="47" spans="3:4">
      <c r="C47" t="s">
        <v>370</v>
      </c>
      <c r="D47" t="s">
        <v>370</v>
      </c>
    </row>
    <row r="48" spans="3:4">
      <c r="C48" t="s">
        <v>370</v>
      </c>
      <c r="D48" t="s">
        <v>370</v>
      </c>
    </row>
    <row r="49" spans="3:4">
      <c r="C49" t="s">
        <v>370</v>
      </c>
      <c r="D49" t="s">
        <v>370</v>
      </c>
    </row>
    <row r="50" spans="3:4">
      <c r="C50" t="s">
        <v>370</v>
      </c>
      <c r="D50" t="s">
        <v>370</v>
      </c>
    </row>
    <row r="51" spans="3:4">
      <c r="C51" t="s">
        <v>370</v>
      </c>
      <c r="D51" t="s">
        <v>370</v>
      </c>
    </row>
    <row r="52" spans="3:4">
      <c r="C52" t="s">
        <v>370</v>
      </c>
      <c r="D52" t="s">
        <v>370</v>
      </c>
    </row>
    <row r="53" spans="3:4">
      <c r="C53" t="s">
        <v>370</v>
      </c>
      <c r="D53" t="s">
        <v>370</v>
      </c>
    </row>
    <row r="54" spans="3:4">
      <c r="C54" t="s">
        <v>370</v>
      </c>
      <c r="D54" t="s">
        <v>370</v>
      </c>
    </row>
    <row r="55" spans="3:4">
      <c r="C55" t="s">
        <v>370</v>
      </c>
      <c r="D55" t="s">
        <v>370</v>
      </c>
    </row>
    <row r="56" spans="3:4">
      <c r="C56" t="s">
        <v>370</v>
      </c>
      <c r="D56" t="s">
        <v>370</v>
      </c>
    </row>
    <row r="57" spans="3:4">
      <c r="C57" t="s">
        <v>370</v>
      </c>
      <c r="D57" t="s">
        <v>370</v>
      </c>
    </row>
    <row r="58" spans="3:4">
      <c r="C58" t="s">
        <v>370</v>
      </c>
      <c r="D58" t="s">
        <v>370</v>
      </c>
    </row>
    <row r="59" spans="3:4">
      <c r="C59" t="s">
        <v>370</v>
      </c>
      <c r="D59" t="s">
        <v>370</v>
      </c>
    </row>
    <row r="60" spans="3:4">
      <c r="C60" t="s">
        <v>370</v>
      </c>
      <c r="D60" t="s">
        <v>370</v>
      </c>
    </row>
    <row r="61" spans="3:4">
      <c r="C61" t="s">
        <v>370</v>
      </c>
      <c r="D61" t="s">
        <v>370</v>
      </c>
    </row>
    <row r="62" spans="3:4">
      <c r="C62" t="s">
        <v>370</v>
      </c>
      <c r="D62" t="s">
        <v>370</v>
      </c>
    </row>
    <row r="63" spans="3:4">
      <c r="C63" t="s">
        <v>370</v>
      </c>
      <c r="D63" t="s">
        <v>370</v>
      </c>
    </row>
    <row r="64" spans="3:4">
      <c r="C64" t="s">
        <v>370</v>
      </c>
      <c r="D64" t="s">
        <v>370</v>
      </c>
    </row>
    <row r="65" spans="3:4">
      <c r="C65" t="s">
        <v>370</v>
      </c>
      <c r="D65" t="s">
        <v>370</v>
      </c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368</v>
      </c>
      <c r="D7" t="s">
        <v>368</v>
      </c>
    </row>
    <row r="8" spans="3:4">
      <c r="C8" t="s">
        <v>368</v>
      </c>
      <c r="D8" t="s">
        <v>368</v>
      </c>
    </row>
    <row r="9" spans="3:4">
      <c r="C9" t="s">
        <v>368</v>
      </c>
      <c r="D9" t="s">
        <v>368</v>
      </c>
    </row>
    <row r="10" spans="3:4">
      <c r="C10" t="s">
        <v>368</v>
      </c>
      <c r="D10" t="s">
        <v>368</v>
      </c>
    </row>
    <row r="11" spans="3:4">
      <c r="C11" t="s">
        <v>368</v>
      </c>
      <c r="D11" t="s">
        <v>368</v>
      </c>
    </row>
    <row r="12" spans="3:4">
      <c r="C12" t="s">
        <v>368</v>
      </c>
      <c r="D12" t="s">
        <v>368</v>
      </c>
    </row>
    <row r="13" spans="3:4">
      <c r="C13" t="s">
        <v>368</v>
      </c>
      <c r="D13" t="s">
        <v>368</v>
      </c>
    </row>
    <row r="14" spans="3:4">
      <c r="C14" t="s">
        <v>368</v>
      </c>
      <c r="D14" t="s">
        <v>368</v>
      </c>
    </row>
    <row r="15" spans="3:4">
      <c r="C15" t="s">
        <v>368</v>
      </c>
      <c r="D15" t="s">
        <v>368</v>
      </c>
    </row>
    <row r="16" spans="3:4">
      <c r="C16" t="s">
        <v>368</v>
      </c>
      <c r="D16" t="s">
        <v>368</v>
      </c>
    </row>
    <row r="17" spans="3:4">
      <c r="C17" t="s">
        <v>368</v>
      </c>
      <c r="D17" t="s">
        <v>368</v>
      </c>
    </row>
    <row r="18" spans="3:4">
      <c r="C18" t="s">
        <v>368</v>
      </c>
      <c r="D18" t="s">
        <v>368</v>
      </c>
    </row>
    <row r="19" spans="3:4">
      <c r="C19" t="s">
        <v>368</v>
      </c>
      <c r="D19" t="s">
        <v>368</v>
      </c>
    </row>
    <row r="20" spans="3:4">
      <c r="C20" t="s">
        <v>368</v>
      </c>
      <c r="D20" t="s">
        <v>368</v>
      </c>
    </row>
    <row r="21" spans="3:4">
      <c r="C21" t="s">
        <v>368</v>
      </c>
      <c r="D21" t="s">
        <v>368</v>
      </c>
    </row>
    <row r="22" spans="3:4">
      <c r="C22" t="s">
        <v>368</v>
      </c>
      <c r="D22" t="s">
        <v>368</v>
      </c>
    </row>
    <row r="23" spans="3:4">
      <c r="C23" t="s">
        <v>368</v>
      </c>
      <c r="D23" t="s">
        <v>368</v>
      </c>
    </row>
    <row r="24" spans="3:4">
      <c r="C24" t="s">
        <v>368</v>
      </c>
      <c r="D24" t="s">
        <v>368</v>
      </c>
    </row>
    <row r="25" spans="3:4">
      <c r="C25" t="s">
        <v>368</v>
      </c>
      <c r="D25" t="s">
        <v>368</v>
      </c>
    </row>
    <row r="26" spans="3:4">
      <c r="C26" t="s">
        <v>368</v>
      </c>
      <c r="D26" t="s">
        <v>368</v>
      </c>
    </row>
    <row r="27" spans="3:4">
      <c r="C27" t="s">
        <v>368</v>
      </c>
      <c r="D27" t="s">
        <v>368</v>
      </c>
    </row>
    <row r="28" spans="3:4">
      <c r="C28" t="s">
        <v>368</v>
      </c>
      <c r="D28" t="s">
        <v>368</v>
      </c>
    </row>
    <row r="29" spans="3:4">
      <c r="C29" t="s">
        <v>368</v>
      </c>
      <c r="D29" t="s">
        <v>368</v>
      </c>
    </row>
    <row r="30" spans="3:4">
      <c r="C30" t="s">
        <v>368</v>
      </c>
      <c r="D30" t="s">
        <v>368</v>
      </c>
    </row>
    <row r="31" spans="3:4">
      <c r="C31" t="s">
        <v>368</v>
      </c>
      <c r="D31" t="s">
        <v>368</v>
      </c>
    </row>
    <row r="32" spans="3:4">
      <c r="C32" t="s">
        <v>368</v>
      </c>
      <c r="D32" t="s">
        <v>368</v>
      </c>
    </row>
    <row r="33" spans="3:4">
      <c r="C33" t="s">
        <v>368</v>
      </c>
      <c r="D33" t="s">
        <v>368</v>
      </c>
    </row>
    <row r="34" spans="3:4">
      <c r="C34" t="s">
        <v>368</v>
      </c>
      <c r="D34" t="s">
        <v>368</v>
      </c>
    </row>
    <row r="35" spans="3:4">
      <c r="C35" t="s">
        <v>368</v>
      </c>
      <c r="D35" t="s">
        <v>368</v>
      </c>
    </row>
    <row r="36" spans="3:4">
      <c r="C36" t="s">
        <v>368</v>
      </c>
      <c r="D36" t="s">
        <v>368</v>
      </c>
    </row>
    <row r="37" spans="3:4">
      <c r="C37" t="s">
        <v>368</v>
      </c>
      <c r="D37" t="s">
        <v>368</v>
      </c>
    </row>
    <row r="38" spans="3:4">
      <c r="C38" t="s">
        <v>368</v>
      </c>
      <c r="D38" t="s">
        <v>368</v>
      </c>
    </row>
    <row r="39" spans="3:4">
      <c r="C39" t="s">
        <v>368</v>
      </c>
      <c r="D39" t="s">
        <v>368</v>
      </c>
    </row>
    <row r="40" spans="3:4">
      <c r="C40" t="s">
        <v>368</v>
      </c>
      <c r="D40" t="s">
        <v>368</v>
      </c>
    </row>
    <row r="41" spans="3:4">
      <c r="C41" t="s">
        <v>368</v>
      </c>
      <c r="D41" t="s">
        <v>368</v>
      </c>
    </row>
    <row r="42" spans="3:4">
      <c r="C42" t="s">
        <v>368</v>
      </c>
      <c r="D42" t="s">
        <v>368</v>
      </c>
    </row>
    <row r="43" spans="3:4">
      <c r="C43" t="s">
        <v>368</v>
      </c>
      <c r="D43" t="s">
        <v>368</v>
      </c>
    </row>
    <row r="44" spans="3:4">
      <c r="C44" t="s">
        <v>368</v>
      </c>
      <c r="D44" t="s">
        <v>368</v>
      </c>
    </row>
    <row r="45" spans="3:4">
      <c r="C45" t="s">
        <v>368</v>
      </c>
      <c r="D45" t="s">
        <v>368</v>
      </c>
    </row>
    <row r="46" spans="3:4">
      <c r="C46" t="s">
        <v>368</v>
      </c>
      <c r="D46" t="s">
        <v>368</v>
      </c>
    </row>
    <row r="47" spans="3:4">
      <c r="C47" t="s">
        <v>368</v>
      </c>
      <c r="D47" t="s">
        <v>368</v>
      </c>
    </row>
    <row r="48" spans="3:4">
      <c r="C48" t="s">
        <v>368</v>
      </c>
      <c r="D48" t="s">
        <v>368</v>
      </c>
    </row>
    <row r="49" spans="3:4">
      <c r="C49" t="s">
        <v>368</v>
      </c>
      <c r="D49" t="s">
        <v>368</v>
      </c>
    </row>
    <row r="50" spans="3:4">
      <c r="C50" t="s">
        <v>368</v>
      </c>
      <c r="D50" t="s">
        <v>368</v>
      </c>
    </row>
    <row r="51" spans="3:4">
      <c r="C51" t="s">
        <v>368</v>
      </c>
      <c r="D51" t="s">
        <v>368</v>
      </c>
    </row>
    <row r="52" spans="3:4">
      <c r="C52" t="s">
        <v>368</v>
      </c>
      <c r="D52" t="s">
        <v>368</v>
      </c>
    </row>
    <row r="53" spans="3:4">
      <c r="C53" t="s">
        <v>368</v>
      </c>
      <c r="D53" t="s">
        <v>368</v>
      </c>
    </row>
    <row r="54" spans="3:4">
      <c r="C54" t="s">
        <v>368</v>
      </c>
      <c r="D54" t="s">
        <v>368</v>
      </c>
    </row>
    <row r="55" spans="3:4">
      <c r="C55" t="s">
        <v>368</v>
      </c>
      <c r="D55" t="s">
        <v>368</v>
      </c>
    </row>
    <row r="56" spans="3:4">
      <c r="C56" t="s">
        <v>368</v>
      </c>
      <c r="D56" t="s">
        <v>368</v>
      </c>
    </row>
    <row r="57" spans="3:4">
      <c r="C57" t="s">
        <v>368</v>
      </c>
      <c r="D57" t="s">
        <v>368</v>
      </c>
    </row>
    <row r="58" spans="3:4">
      <c r="C58" t="s">
        <v>368</v>
      </c>
      <c r="D58" t="s">
        <v>368</v>
      </c>
    </row>
    <row r="59" spans="3:4">
      <c r="C59" t="s">
        <v>368</v>
      </c>
      <c r="D59" t="s">
        <v>368</v>
      </c>
    </row>
    <row r="60" spans="3:4">
      <c r="C60" t="s">
        <v>368</v>
      </c>
      <c r="D60" t="s">
        <v>368</v>
      </c>
    </row>
    <row r="61" spans="3:4">
      <c r="C61" t="s">
        <v>368</v>
      </c>
      <c r="D61" t="s">
        <v>368</v>
      </c>
    </row>
    <row r="62" spans="3:4">
      <c r="C62" t="s">
        <v>368</v>
      </c>
      <c r="D62" t="s">
        <v>368</v>
      </c>
    </row>
    <row r="63" spans="3:4">
      <c r="C63" t="s">
        <v>368</v>
      </c>
      <c r="D63" t="s">
        <v>368</v>
      </c>
    </row>
    <row r="64" spans="3:4">
      <c r="C64" t="s">
        <v>368</v>
      </c>
      <c r="D64" t="s">
        <v>368</v>
      </c>
    </row>
    <row r="65" spans="3:4">
      <c r="C65" t="s">
        <v>368</v>
      </c>
      <c r="D65" t="s">
        <v>368</v>
      </c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366</v>
      </c>
      <c r="D7" t="s">
        <v>366</v>
      </c>
    </row>
    <row r="8" spans="3:4">
      <c r="C8" t="s">
        <v>366</v>
      </c>
      <c r="D8" t="s">
        <v>366</v>
      </c>
    </row>
    <row r="9" spans="3:4">
      <c r="C9" t="s">
        <v>366</v>
      </c>
      <c r="D9" t="s">
        <v>366</v>
      </c>
    </row>
    <row r="10" spans="3:4">
      <c r="C10" t="s">
        <v>366</v>
      </c>
      <c r="D10" t="s">
        <v>366</v>
      </c>
    </row>
    <row r="11" spans="3:4">
      <c r="C11" t="s">
        <v>366</v>
      </c>
      <c r="D11" t="s">
        <v>366</v>
      </c>
    </row>
    <row r="12" spans="3:4">
      <c r="C12" t="s">
        <v>366</v>
      </c>
      <c r="D12" t="s">
        <v>366</v>
      </c>
    </row>
    <row r="13" spans="3:4">
      <c r="C13" t="s">
        <v>366</v>
      </c>
      <c r="D13" t="s">
        <v>366</v>
      </c>
    </row>
    <row r="14" spans="3:4">
      <c r="C14" t="s">
        <v>366</v>
      </c>
      <c r="D14" t="s">
        <v>366</v>
      </c>
    </row>
    <row r="15" spans="3:4">
      <c r="C15" t="s">
        <v>366</v>
      </c>
      <c r="D15" t="s">
        <v>366</v>
      </c>
    </row>
    <row r="16" spans="3:4">
      <c r="C16" t="s">
        <v>366</v>
      </c>
      <c r="D16" t="s">
        <v>366</v>
      </c>
    </row>
    <row r="17" spans="3:4">
      <c r="C17" t="s">
        <v>366</v>
      </c>
      <c r="D17" t="s">
        <v>366</v>
      </c>
    </row>
    <row r="18" spans="3:4">
      <c r="C18" t="s">
        <v>366</v>
      </c>
      <c r="D18" t="s">
        <v>366</v>
      </c>
    </row>
    <row r="19" spans="3:4">
      <c r="C19" t="s">
        <v>366</v>
      </c>
      <c r="D19" t="s">
        <v>366</v>
      </c>
    </row>
    <row r="20" spans="3:4">
      <c r="C20" t="s">
        <v>366</v>
      </c>
      <c r="D20" t="s">
        <v>366</v>
      </c>
    </row>
    <row r="21" spans="3:4">
      <c r="C21" t="s">
        <v>366</v>
      </c>
      <c r="D21" t="s">
        <v>366</v>
      </c>
    </row>
    <row r="22" spans="3:4">
      <c r="C22" t="s">
        <v>366</v>
      </c>
      <c r="D22" t="s">
        <v>366</v>
      </c>
    </row>
    <row r="23" spans="3:4">
      <c r="C23" t="s">
        <v>366</v>
      </c>
      <c r="D23" t="s">
        <v>366</v>
      </c>
    </row>
    <row r="24" spans="3:4">
      <c r="C24" t="s">
        <v>366</v>
      </c>
      <c r="D24" t="s">
        <v>366</v>
      </c>
    </row>
    <row r="25" spans="3:4">
      <c r="C25" t="s">
        <v>366</v>
      </c>
      <c r="D25" t="s">
        <v>366</v>
      </c>
    </row>
    <row r="26" spans="3:4">
      <c r="C26" t="s">
        <v>366</v>
      </c>
      <c r="D26" t="s">
        <v>366</v>
      </c>
    </row>
    <row r="27" spans="3:4">
      <c r="C27" t="s">
        <v>366</v>
      </c>
      <c r="D27" t="s">
        <v>366</v>
      </c>
    </row>
    <row r="28" spans="3:4">
      <c r="C28" t="s">
        <v>366</v>
      </c>
      <c r="D28" t="s">
        <v>366</v>
      </c>
    </row>
    <row r="29" spans="3:4">
      <c r="C29" t="s">
        <v>366</v>
      </c>
      <c r="D29" t="s">
        <v>366</v>
      </c>
    </row>
    <row r="30" spans="3:4">
      <c r="C30" t="s">
        <v>366</v>
      </c>
      <c r="D30" t="s">
        <v>366</v>
      </c>
    </row>
    <row r="31" spans="3:4">
      <c r="C31" t="s">
        <v>366</v>
      </c>
      <c r="D31" t="s">
        <v>366</v>
      </c>
    </row>
    <row r="32" spans="3:4">
      <c r="C32" t="s">
        <v>366</v>
      </c>
      <c r="D32" t="s">
        <v>366</v>
      </c>
    </row>
    <row r="33" spans="3:4">
      <c r="C33" t="s">
        <v>366</v>
      </c>
      <c r="D33" t="s">
        <v>366</v>
      </c>
    </row>
    <row r="34" spans="3:4">
      <c r="C34" t="s">
        <v>366</v>
      </c>
      <c r="D34" t="s">
        <v>366</v>
      </c>
    </row>
    <row r="35" spans="3:4">
      <c r="C35" t="s">
        <v>366</v>
      </c>
      <c r="D35" t="s">
        <v>366</v>
      </c>
    </row>
    <row r="36" spans="3:4">
      <c r="C36" t="s">
        <v>366</v>
      </c>
      <c r="D36" t="s">
        <v>366</v>
      </c>
    </row>
    <row r="37" spans="3:4">
      <c r="C37" t="s">
        <v>366</v>
      </c>
      <c r="D37" t="s">
        <v>366</v>
      </c>
    </row>
    <row r="38" spans="3:4">
      <c r="C38" t="s">
        <v>366</v>
      </c>
      <c r="D38" t="s">
        <v>366</v>
      </c>
    </row>
    <row r="39" spans="3:4">
      <c r="C39" t="s">
        <v>366</v>
      </c>
      <c r="D39" t="s">
        <v>366</v>
      </c>
    </row>
    <row r="40" spans="3:4">
      <c r="C40" t="s">
        <v>366</v>
      </c>
      <c r="D40" t="s">
        <v>366</v>
      </c>
    </row>
    <row r="41" spans="3:4">
      <c r="C41" t="s">
        <v>366</v>
      </c>
      <c r="D41" t="s">
        <v>366</v>
      </c>
    </row>
    <row r="42" spans="3:4">
      <c r="C42" t="s">
        <v>366</v>
      </c>
      <c r="D42" t="s">
        <v>366</v>
      </c>
    </row>
    <row r="43" spans="3:4">
      <c r="C43" t="s">
        <v>366</v>
      </c>
      <c r="D43" t="s">
        <v>366</v>
      </c>
    </row>
    <row r="44" spans="3:4">
      <c r="C44" t="s">
        <v>366</v>
      </c>
      <c r="D44" t="s">
        <v>366</v>
      </c>
    </row>
    <row r="45" spans="3:4">
      <c r="C45" t="s">
        <v>366</v>
      </c>
      <c r="D45" t="s">
        <v>366</v>
      </c>
    </row>
    <row r="46" spans="3:4">
      <c r="C46" t="s">
        <v>366</v>
      </c>
      <c r="D46" t="s">
        <v>366</v>
      </c>
    </row>
    <row r="47" spans="3:4">
      <c r="C47" t="s">
        <v>366</v>
      </c>
      <c r="D47" t="s">
        <v>366</v>
      </c>
    </row>
    <row r="48" spans="3:4">
      <c r="C48" t="s">
        <v>366</v>
      </c>
      <c r="D48" t="s">
        <v>366</v>
      </c>
    </row>
    <row r="49" spans="3:4">
      <c r="C49" t="s">
        <v>366</v>
      </c>
      <c r="D49" t="s">
        <v>366</v>
      </c>
    </row>
    <row r="50" spans="3:4">
      <c r="C50" t="s">
        <v>366</v>
      </c>
      <c r="D50" t="s">
        <v>366</v>
      </c>
    </row>
    <row r="51" spans="3:4">
      <c r="C51" t="s">
        <v>366</v>
      </c>
      <c r="D51" t="s">
        <v>366</v>
      </c>
    </row>
    <row r="52" spans="3:4">
      <c r="C52" t="s">
        <v>366</v>
      </c>
      <c r="D52" t="s">
        <v>366</v>
      </c>
    </row>
    <row r="53" spans="3:4">
      <c r="C53" t="s">
        <v>366</v>
      </c>
      <c r="D53" t="s">
        <v>366</v>
      </c>
    </row>
    <row r="54" spans="3:4">
      <c r="C54" t="s">
        <v>366</v>
      </c>
      <c r="D54" t="s">
        <v>366</v>
      </c>
    </row>
    <row r="55" spans="3:4">
      <c r="C55" t="s">
        <v>366</v>
      </c>
      <c r="D55" t="s">
        <v>366</v>
      </c>
    </row>
    <row r="56" spans="3:4">
      <c r="C56" t="s">
        <v>366</v>
      </c>
      <c r="D56" t="s">
        <v>366</v>
      </c>
    </row>
    <row r="57" spans="3:4">
      <c r="C57" t="s">
        <v>366</v>
      </c>
      <c r="D57" t="s">
        <v>366</v>
      </c>
    </row>
    <row r="58" spans="3:4">
      <c r="C58" t="s">
        <v>366</v>
      </c>
      <c r="D58" t="s">
        <v>366</v>
      </c>
    </row>
    <row r="59" spans="3:4">
      <c r="C59" t="s">
        <v>366</v>
      </c>
      <c r="D59" t="s">
        <v>366</v>
      </c>
    </row>
    <row r="60" spans="3:4">
      <c r="C60" t="s">
        <v>366</v>
      </c>
      <c r="D60" t="s">
        <v>366</v>
      </c>
    </row>
    <row r="61" spans="3:4">
      <c r="C61" t="s">
        <v>366</v>
      </c>
      <c r="D61" t="s">
        <v>366</v>
      </c>
    </row>
    <row r="62" spans="3:4">
      <c r="C62" t="s">
        <v>366</v>
      </c>
      <c r="D62" t="s">
        <v>366</v>
      </c>
    </row>
    <row r="63" spans="3:4">
      <c r="C63" t="s">
        <v>366</v>
      </c>
      <c r="D63" t="s">
        <v>366</v>
      </c>
    </row>
    <row r="64" spans="3:4">
      <c r="C64" t="s">
        <v>366</v>
      </c>
      <c r="D64" t="s">
        <v>366</v>
      </c>
    </row>
    <row r="65" spans="3:4">
      <c r="C65" t="s">
        <v>366</v>
      </c>
      <c r="D65" t="s">
        <v>366</v>
      </c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364</v>
      </c>
      <c r="D7" t="s">
        <v>364</v>
      </c>
    </row>
    <row r="8" spans="3:4">
      <c r="C8" t="s">
        <v>364</v>
      </c>
      <c r="D8" t="s">
        <v>364</v>
      </c>
    </row>
    <row r="9" spans="3:4">
      <c r="C9" t="s">
        <v>364</v>
      </c>
      <c r="D9" t="s">
        <v>364</v>
      </c>
    </row>
    <row r="10" spans="3:4">
      <c r="C10" t="s">
        <v>364</v>
      </c>
      <c r="D10" t="s">
        <v>364</v>
      </c>
    </row>
    <row r="11" spans="3:4">
      <c r="C11" t="s">
        <v>364</v>
      </c>
      <c r="D11" t="s">
        <v>364</v>
      </c>
    </row>
    <row r="12" spans="3:4">
      <c r="C12" t="s">
        <v>364</v>
      </c>
      <c r="D12" t="s">
        <v>364</v>
      </c>
    </row>
    <row r="13" spans="3:4">
      <c r="C13" t="s">
        <v>364</v>
      </c>
      <c r="D13" t="s">
        <v>364</v>
      </c>
    </row>
    <row r="14" spans="3:4">
      <c r="C14" t="s">
        <v>364</v>
      </c>
      <c r="D14" t="s">
        <v>364</v>
      </c>
    </row>
    <row r="15" spans="3:4">
      <c r="C15" t="s">
        <v>364</v>
      </c>
      <c r="D15" t="s">
        <v>364</v>
      </c>
    </row>
    <row r="16" spans="3:4">
      <c r="C16" t="s">
        <v>364</v>
      </c>
      <c r="D16" t="s">
        <v>364</v>
      </c>
    </row>
    <row r="17" spans="3:4">
      <c r="C17" t="s">
        <v>364</v>
      </c>
      <c r="D17" t="s">
        <v>364</v>
      </c>
    </row>
    <row r="18" spans="3:4">
      <c r="C18" t="s">
        <v>364</v>
      </c>
      <c r="D18" t="s">
        <v>364</v>
      </c>
    </row>
    <row r="19" spans="3:4">
      <c r="C19" t="s">
        <v>364</v>
      </c>
      <c r="D19" t="s">
        <v>364</v>
      </c>
    </row>
    <row r="20" spans="3:4">
      <c r="C20" t="s">
        <v>364</v>
      </c>
      <c r="D20" t="s">
        <v>364</v>
      </c>
    </row>
    <row r="21" spans="3:4">
      <c r="C21" t="s">
        <v>364</v>
      </c>
      <c r="D21" t="s">
        <v>364</v>
      </c>
    </row>
    <row r="22" spans="3:4">
      <c r="C22" t="s">
        <v>364</v>
      </c>
      <c r="D22" t="s">
        <v>364</v>
      </c>
    </row>
    <row r="23" spans="3:4">
      <c r="C23" t="s">
        <v>364</v>
      </c>
      <c r="D23" t="s">
        <v>364</v>
      </c>
    </row>
    <row r="24" spans="3:4">
      <c r="C24" t="s">
        <v>364</v>
      </c>
      <c r="D24" t="s">
        <v>364</v>
      </c>
    </row>
    <row r="25" spans="3:4">
      <c r="C25" t="s">
        <v>364</v>
      </c>
      <c r="D25" t="s">
        <v>364</v>
      </c>
    </row>
    <row r="26" spans="3:4">
      <c r="C26" t="s">
        <v>364</v>
      </c>
      <c r="D26" t="s">
        <v>364</v>
      </c>
    </row>
    <row r="27" spans="3:4">
      <c r="C27" t="s">
        <v>364</v>
      </c>
      <c r="D27" t="s">
        <v>364</v>
      </c>
    </row>
    <row r="28" spans="3:4">
      <c r="C28" t="s">
        <v>364</v>
      </c>
      <c r="D28" t="s">
        <v>364</v>
      </c>
    </row>
    <row r="29" spans="3:4">
      <c r="C29" t="s">
        <v>364</v>
      </c>
      <c r="D29" t="s">
        <v>364</v>
      </c>
    </row>
    <row r="30" spans="3:4">
      <c r="C30" t="s">
        <v>364</v>
      </c>
      <c r="D30" t="s">
        <v>364</v>
      </c>
    </row>
    <row r="31" spans="3:4">
      <c r="C31" t="s">
        <v>364</v>
      </c>
      <c r="D31" t="s">
        <v>364</v>
      </c>
    </row>
    <row r="32" spans="3:4">
      <c r="C32" t="s">
        <v>364</v>
      </c>
      <c r="D32" t="s">
        <v>364</v>
      </c>
    </row>
    <row r="33" spans="3:4">
      <c r="C33" t="s">
        <v>364</v>
      </c>
      <c r="D33" t="s">
        <v>364</v>
      </c>
    </row>
    <row r="34" spans="3:4">
      <c r="C34" t="s">
        <v>364</v>
      </c>
      <c r="D34" t="s">
        <v>364</v>
      </c>
    </row>
    <row r="35" spans="3:4">
      <c r="C35" t="s">
        <v>364</v>
      </c>
      <c r="D35" t="s">
        <v>364</v>
      </c>
    </row>
    <row r="36" spans="3:4">
      <c r="C36" t="s">
        <v>364</v>
      </c>
      <c r="D36" t="s">
        <v>364</v>
      </c>
    </row>
    <row r="37" spans="3:4">
      <c r="C37" t="s">
        <v>364</v>
      </c>
      <c r="D37" t="s">
        <v>364</v>
      </c>
    </row>
    <row r="38" spans="3:4">
      <c r="C38" t="s">
        <v>364</v>
      </c>
      <c r="D38" t="s">
        <v>364</v>
      </c>
    </row>
    <row r="39" spans="3:4">
      <c r="C39" t="s">
        <v>364</v>
      </c>
      <c r="D39" t="s">
        <v>364</v>
      </c>
    </row>
    <row r="40" spans="3:4">
      <c r="C40" t="s">
        <v>364</v>
      </c>
      <c r="D40" t="s">
        <v>364</v>
      </c>
    </row>
    <row r="41" spans="3:4">
      <c r="C41" t="s">
        <v>364</v>
      </c>
      <c r="D41" t="s">
        <v>364</v>
      </c>
    </row>
    <row r="42" spans="3:4">
      <c r="C42" t="s">
        <v>364</v>
      </c>
      <c r="D42" t="s">
        <v>364</v>
      </c>
    </row>
    <row r="43" spans="3:4">
      <c r="C43" t="s">
        <v>364</v>
      </c>
      <c r="D43" t="s">
        <v>364</v>
      </c>
    </row>
    <row r="44" spans="3:4">
      <c r="C44" t="s">
        <v>364</v>
      </c>
      <c r="D44" t="s">
        <v>364</v>
      </c>
    </row>
    <row r="45" spans="3:4">
      <c r="C45" t="s">
        <v>364</v>
      </c>
      <c r="D45" t="s">
        <v>364</v>
      </c>
    </row>
    <row r="46" spans="3:4">
      <c r="C46" t="s">
        <v>364</v>
      </c>
      <c r="D46" t="s">
        <v>364</v>
      </c>
    </row>
    <row r="47" spans="3:4">
      <c r="C47" t="s">
        <v>364</v>
      </c>
      <c r="D47" t="s">
        <v>364</v>
      </c>
    </row>
    <row r="48" spans="3:4">
      <c r="C48" t="s">
        <v>364</v>
      </c>
      <c r="D48" t="s">
        <v>364</v>
      </c>
    </row>
    <row r="49" spans="3:4">
      <c r="C49" t="s">
        <v>364</v>
      </c>
      <c r="D49" t="s">
        <v>364</v>
      </c>
    </row>
    <row r="50" spans="3:4">
      <c r="C50" t="s">
        <v>364</v>
      </c>
      <c r="D50" t="s">
        <v>364</v>
      </c>
    </row>
    <row r="51" spans="3:4">
      <c r="C51" t="s">
        <v>364</v>
      </c>
      <c r="D51" t="s">
        <v>364</v>
      </c>
    </row>
    <row r="52" spans="3:4">
      <c r="C52" t="s">
        <v>364</v>
      </c>
      <c r="D52" t="s">
        <v>364</v>
      </c>
    </row>
    <row r="53" spans="3:4">
      <c r="C53" t="s">
        <v>364</v>
      </c>
      <c r="D53" t="s">
        <v>364</v>
      </c>
    </row>
    <row r="54" spans="3:4">
      <c r="C54" t="s">
        <v>364</v>
      </c>
      <c r="D54" t="s">
        <v>364</v>
      </c>
    </row>
    <row r="55" spans="3:4">
      <c r="C55" t="s">
        <v>364</v>
      </c>
      <c r="D55" t="s">
        <v>364</v>
      </c>
    </row>
    <row r="56" spans="3:4">
      <c r="C56" t="s">
        <v>364</v>
      </c>
      <c r="D56" t="s">
        <v>364</v>
      </c>
    </row>
    <row r="57" spans="3:4">
      <c r="C57" t="s">
        <v>364</v>
      </c>
      <c r="D57" t="s">
        <v>364</v>
      </c>
    </row>
    <row r="58" spans="3:4">
      <c r="C58" t="s">
        <v>364</v>
      </c>
      <c r="D58" t="s">
        <v>364</v>
      </c>
    </row>
    <row r="59" spans="3:4">
      <c r="C59" t="s">
        <v>364</v>
      </c>
      <c r="D59" t="s">
        <v>364</v>
      </c>
    </row>
    <row r="60" spans="3:4">
      <c r="C60" t="s">
        <v>364</v>
      </c>
      <c r="D60" t="s">
        <v>364</v>
      </c>
    </row>
    <row r="61" spans="3:4">
      <c r="C61" t="s">
        <v>364</v>
      </c>
      <c r="D61" t="s">
        <v>364</v>
      </c>
    </row>
    <row r="62" spans="3:4">
      <c r="C62" t="s">
        <v>364</v>
      </c>
      <c r="D62" t="s">
        <v>364</v>
      </c>
    </row>
    <row r="63" spans="3:4">
      <c r="C63" t="s">
        <v>364</v>
      </c>
      <c r="D63" t="s">
        <v>364</v>
      </c>
    </row>
    <row r="64" spans="3:4">
      <c r="C64" t="s">
        <v>364</v>
      </c>
      <c r="D64" t="s">
        <v>364</v>
      </c>
    </row>
    <row r="65" spans="3:4">
      <c r="C65" t="s">
        <v>364</v>
      </c>
      <c r="D65" t="s">
        <v>364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39" sqref="E39"/>
    </sheetView>
  </sheetViews>
  <sheetFormatPr defaultColWidth="11.7109375" defaultRowHeight="15"/>
  <cols>
    <col min="1" max="1" width="63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3512474.28</v>
      </c>
      <c r="D8" s="11">
        <f>D9+D11+D14+D15</f>
        <v>3401272.55</v>
      </c>
    </row>
    <row r="9" spans="1:4" ht="30">
      <c r="A9" s="12" t="s">
        <v>90</v>
      </c>
      <c r="B9" s="13" t="s">
        <v>91</v>
      </c>
      <c r="C9" s="14">
        <f>3124920.44</f>
        <v>3124920.44</v>
      </c>
      <c r="D9" s="15">
        <f>3096766.55</f>
        <v>3096766.55</v>
      </c>
    </row>
    <row r="10" spans="1:4">
      <c r="A10" s="16" t="s">
        <v>92</v>
      </c>
      <c r="B10" s="17" t="s">
        <v>93</v>
      </c>
      <c r="C10" s="18">
        <f>2006779.87711214</f>
        <v>2006779.8771121399</v>
      </c>
      <c r="D10" s="19">
        <f>_22h_E12</f>
        <v>2006779.8771121399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6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387553.84</v>
      </c>
      <c r="D15" s="15">
        <f>SUM(D16:D24)</f>
        <v>304506</v>
      </c>
    </row>
    <row r="16" spans="1:4">
      <c r="A16" s="22" t="s">
        <v>103</v>
      </c>
      <c r="B16" s="17" t="s">
        <v>104</v>
      </c>
      <c r="C16" s="111">
        <v>282739.68</v>
      </c>
      <c r="D16" s="113">
        <v>177998.07999999999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85548.12</f>
        <v>85548.12</v>
      </c>
      <c r="D18" s="19">
        <f>107241.18</f>
        <v>107241.18</v>
      </c>
    </row>
    <row r="19" spans="1:4">
      <c r="A19" s="22" t="s">
        <v>109</v>
      </c>
      <c r="B19" s="17" t="s">
        <v>110</v>
      </c>
      <c r="C19" s="18">
        <f>8232.52</f>
        <v>8232.52</v>
      </c>
      <c r="D19" s="19">
        <f>8238.06</f>
        <v>8238.06</v>
      </c>
    </row>
    <row r="20" spans="1:4">
      <c r="A20" s="22" t="s">
        <v>111</v>
      </c>
      <c r="B20" s="17" t="s">
        <v>112</v>
      </c>
      <c r="C20" s="18">
        <f>11033.52</f>
        <v>11033.52</v>
      </c>
      <c r="D20" s="19">
        <f>11028.68</f>
        <v>11028.68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1359631.8000000259</v>
      </c>
      <c r="D25" s="15">
        <f>D26+D27+D30+D28+D29+D31</f>
        <v>884766.08</v>
      </c>
    </row>
    <row r="26" spans="1:4" ht="21" customHeight="1">
      <c r="A26" s="24" t="s">
        <v>123</v>
      </c>
      <c r="B26" s="20" t="s">
        <v>124</v>
      </c>
      <c r="C26" s="18">
        <f>545337</f>
        <v>545337</v>
      </c>
      <c r="D26" s="19">
        <f>542701.2</f>
        <v>542701.19999999995</v>
      </c>
    </row>
    <row r="27" spans="1:4" ht="35.25" customHeight="1">
      <c r="A27" s="24" t="s">
        <v>125</v>
      </c>
      <c r="B27" s="20" t="s">
        <v>126</v>
      </c>
      <c r="C27" s="18">
        <f>56160.72</f>
        <v>56160.72</v>
      </c>
      <c r="D27" s="19">
        <f>56221.78</f>
        <v>56221.78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57397.2</f>
        <v>57397.2</v>
      </c>
      <c r="D29" s="19">
        <f>56895.44</f>
        <v>56895.44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700736.88000002597</v>
      </c>
      <c r="D31" s="15">
        <f>SUM(D32:D39)</f>
        <v>228947.66000000003</v>
      </c>
    </row>
    <row r="32" spans="1:4">
      <c r="A32" s="24" t="s">
        <v>135</v>
      </c>
      <c r="B32" s="17" t="s">
        <v>136</v>
      </c>
      <c r="C32" s="18">
        <f>84236.38</f>
        <v>84236.38</v>
      </c>
      <c r="D32" s="19">
        <f>84236.41</f>
        <v>84236.41</v>
      </c>
    </row>
    <row r="33" spans="1:4">
      <c r="A33" s="24" t="s">
        <v>137</v>
      </c>
      <c r="B33" s="17" t="s">
        <v>138</v>
      </c>
      <c r="C33" s="18">
        <f>76216.2</f>
        <v>76216.2</v>
      </c>
      <c r="D33" s="19">
        <f>100681.24</f>
        <v>100681.24</v>
      </c>
    </row>
    <row r="34" spans="1:4">
      <c r="A34" s="24" t="s">
        <v>139</v>
      </c>
      <c r="B34" s="17" t="s">
        <v>140</v>
      </c>
      <c r="C34" s="18">
        <f>43326.24</f>
        <v>43326.239999999998</v>
      </c>
      <c r="D34" s="19">
        <f>44030.01</f>
        <v>44030.01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496958.060000026</f>
        <v>496958.06000002602</v>
      </c>
      <c r="D39" s="19"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34472.400000000001</v>
      </c>
      <c r="D45" s="27">
        <f>SUM(D46:D48)</f>
        <v>511364.67</v>
      </c>
    </row>
    <row r="46" spans="1:4">
      <c r="A46" s="21" t="s">
        <v>163</v>
      </c>
      <c r="B46" s="17" t="s">
        <v>164</v>
      </c>
      <c r="C46" s="18">
        <f>33261.72</f>
        <v>33261.72</v>
      </c>
      <c r="D46" s="19">
        <f>36849.6</f>
        <v>36849.599999999999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473304.39</v>
      </c>
    </row>
    <row r="48" spans="1:4">
      <c r="A48" s="21" t="s">
        <v>166</v>
      </c>
      <c r="B48" s="17" t="s">
        <v>167</v>
      </c>
      <c r="C48" s="18">
        <f>1210.68</f>
        <v>1210.68</v>
      </c>
      <c r="D48" s="19">
        <f>1210.68</f>
        <v>1210.68</v>
      </c>
    </row>
    <row r="49" spans="1:4">
      <c r="A49" s="8" t="s">
        <v>440</v>
      </c>
      <c r="B49" s="28" t="s">
        <v>168</v>
      </c>
      <c r="C49" s="29">
        <f>387993.6</f>
        <v>387993.59999999998</v>
      </c>
      <c r="D49" s="30">
        <f>497168.78</f>
        <v>497168.78</v>
      </c>
    </row>
    <row r="50" spans="1:4">
      <c r="A50" s="8" t="s">
        <v>169</v>
      </c>
      <c r="B50" s="9" t="s">
        <v>170</v>
      </c>
      <c r="C50" s="14">
        <f>C8+C25+C40+C41+C42+C43+C44+C45+C49+C51+C52</f>
        <v>5294572.0800000262</v>
      </c>
      <c r="D50" s="15">
        <f>D8+D25+D40+D41+D42+D43+D44+D45+D49+D51+D52</f>
        <v>5294572.08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3149714.16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3073449.6</f>
        <v>3073449.6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76264.56</f>
        <v>76264.56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1702848</f>
        <v>1702848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4852562.16</v>
      </c>
      <c r="D59" s="27">
        <f>D54+D57+D58</f>
        <v>0</v>
      </c>
    </row>
    <row r="60" spans="1:4" ht="25.5">
      <c r="A60" s="33" t="s">
        <v>188</v>
      </c>
      <c r="B60" s="9"/>
      <c r="C60" s="34">
        <v>19653.2</v>
      </c>
      <c r="D60" s="35">
        <v>19653.2</v>
      </c>
    </row>
    <row r="61" spans="1:4" ht="15.75" thickBot="1">
      <c r="A61" s="36" t="s">
        <v>189</v>
      </c>
      <c r="B61" s="37"/>
      <c r="C61" s="38">
        <f>(C50+C51+C52)/C60/12</f>
        <v>22.450000000000113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362</v>
      </c>
      <c r="D7" t="s">
        <v>362</v>
      </c>
    </row>
    <row r="8" spans="3:4">
      <c r="C8" t="s">
        <v>362</v>
      </c>
      <c r="D8" t="s">
        <v>362</v>
      </c>
    </row>
    <row r="9" spans="3:4">
      <c r="C9" t="s">
        <v>362</v>
      </c>
      <c r="D9" t="s">
        <v>362</v>
      </c>
    </row>
    <row r="10" spans="3:4">
      <c r="C10" t="s">
        <v>362</v>
      </c>
      <c r="D10" t="s">
        <v>362</v>
      </c>
    </row>
    <row r="11" spans="3:4">
      <c r="C11" t="s">
        <v>362</v>
      </c>
      <c r="D11" t="s">
        <v>362</v>
      </c>
    </row>
    <row r="12" spans="3:4">
      <c r="C12" t="s">
        <v>362</v>
      </c>
      <c r="D12" t="s">
        <v>362</v>
      </c>
    </row>
    <row r="13" spans="3:4">
      <c r="C13" t="s">
        <v>362</v>
      </c>
      <c r="D13" t="s">
        <v>362</v>
      </c>
    </row>
    <row r="14" spans="3:4">
      <c r="C14" t="s">
        <v>362</v>
      </c>
      <c r="D14" t="s">
        <v>362</v>
      </c>
    </row>
    <row r="15" spans="3:4">
      <c r="C15" t="s">
        <v>362</v>
      </c>
      <c r="D15" t="s">
        <v>362</v>
      </c>
    </row>
    <row r="16" spans="3:4">
      <c r="C16" t="s">
        <v>362</v>
      </c>
      <c r="D16" t="s">
        <v>362</v>
      </c>
    </row>
    <row r="17" spans="3:4">
      <c r="C17" t="s">
        <v>362</v>
      </c>
      <c r="D17" t="s">
        <v>362</v>
      </c>
    </row>
    <row r="18" spans="3:4">
      <c r="C18" t="s">
        <v>362</v>
      </c>
      <c r="D18" t="s">
        <v>362</v>
      </c>
    </row>
    <row r="19" spans="3:4">
      <c r="C19" t="s">
        <v>362</v>
      </c>
      <c r="D19" t="s">
        <v>362</v>
      </c>
    </row>
    <row r="20" spans="3:4">
      <c r="C20" t="s">
        <v>362</v>
      </c>
      <c r="D20" t="s">
        <v>362</v>
      </c>
    </row>
    <row r="21" spans="3:4">
      <c r="C21" t="s">
        <v>362</v>
      </c>
      <c r="D21" t="s">
        <v>362</v>
      </c>
    </row>
    <row r="22" spans="3:4">
      <c r="C22" t="s">
        <v>362</v>
      </c>
      <c r="D22" t="s">
        <v>362</v>
      </c>
    </row>
    <row r="23" spans="3:4">
      <c r="C23" t="s">
        <v>362</v>
      </c>
      <c r="D23" t="s">
        <v>362</v>
      </c>
    </row>
    <row r="24" spans="3:4">
      <c r="C24" t="s">
        <v>362</v>
      </c>
      <c r="D24" t="s">
        <v>362</v>
      </c>
    </row>
    <row r="25" spans="3:4">
      <c r="C25" t="s">
        <v>362</v>
      </c>
      <c r="D25" t="s">
        <v>362</v>
      </c>
    </row>
    <row r="26" spans="3:4">
      <c r="C26" t="s">
        <v>362</v>
      </c>
      <c r="D26" t="s">
        <v>362</v>
      </c>
    </row>
    <row r="27" spans="3:4">
      <c r="C27" t="s">
        <v>362</v>
      </c>
      <c r="D27" t="s">
        <v>362</v>
      </c>
    </row>
    <row r="28" spans="3:4">
      <c r="C28" t="s">
        <v>362</v>
      </c>
      <c r="D28" t="s">
        <v>362</v>
      </c>
    </row>
    <row r="29" spans="3:4">
      <c r="C29" t="s">
        <v>362</v>
      </c>
      <c r="D29" t="s">
        <v>362</v>
      </c>
    </row>
    <row r="30" spans="3:4">
      <c r="C30" t="s">
        <v>362</v>
      </c>
      <c r="D30" t="s">
        <v>362</v>
      </c>
    </row>
    <row r="31" spans="3:4">
      <c r="C31" t="s">
        <v>362</v>
      </c>
      <c r="D31" t="s">
        <v>362</v>
      </c>
    </row>
    <row r="32" spans="3:4">
      <c r="C32" t="s">
        <v>362</v>
      </c>
      <c r="D32" t="s">
        <v>362</v>
      </c>
    </row>
    <row r="33" spans="3:4">
      <c r="C33" t="s">
        <v>362</v>
      </c>
      <c r="D33" t="s">
        <v>362</v>
      </c>
    </row>
    <row r="34" spans="3:4">
      <c r="C34" t="s">
        <v>362</v>
      </c>
      <c r="D34" t="s">
        <v>362</v>
      </c>
    </row>
    <row r="35" spans="3:4">
      <c r="C35" t="s">
        <v>362</v>
      </c>
      <c r="D35" t="s">
        <v>362</v>
      </c>
    </row>
    <row r="36" spans="3:4">
      <c r="C36" t="s">
        <v>362</v>
      </c>
      <c r="D36" t="s">
        <v>362</v>
      </c>
    </row>
    <row r="37" spans="3:4">
      <c r="C37" t="s">
        <v>362</v>
      </c>
      <c r="D37" t="s">
        <v>362</v>
      </c>
    </row>
    <row r="38" spans="3:4">
      <c r="C38" t="s">
        <v>362</v>
      </c>
      <c r="D38" t="s">
        <v>362</v>
      </c>
    </row>
    <row r="39" spans="3:4">
      <c r="C39" t="s">
        <v>362</v>
      </c>
      <c r="D39" t="s">
        <v>362</v>
      </c>
    </row>
    <row r="40" spans="3:4">
      <c r="C40" t="s">
        <v>362</v>
      </c>
      <c r="D40" t="s">
        <v>362</v>
      </c>
    </row>
    <row r="41" spans="3:4">
      <c r="C41" t="s">
        <v>362</v>
      </c>
      <c r="D41" t="s">
        <v>362</v>
      </c>
    </row>
    <row r="42" spans="3:4">
      <c r="C42" t="s">
        <v>362</v>
      </c>
      <c r="D42" t="s">
        <v>362</v>
      </c>
    </row>
    <row r="43" spans="3:4">
      <c r="C43" t="s">
        <v>362</v>
      </c>
      <c r="D43" t="s">
        <v>362</v>
      </c>
    </row>
    <row r="44" spans="3:4">
      <c r="C44" t="s">
        <v>362</v>
      </c>
      <c r="D44" t="s">
        <v>362</v>
      </c>
    </row>
    <row r="45" spans="3:4">
      <c r="C45" t="s">
        <v>362</v>
      </c>
      <c r="D45" t="s">
        <v>362</v>
      </c>
    </row>
    <row r="46" spans="3:4">
      <c r="C46" t="s">
        <v>362</v>
      </c>
      <c r="D46" t="s">
        <v>362</v>
      </c>
    </row>
    <row r="47" spans="3:4">
      <c r="C47" t="s">
        <v>362</v>
      </c>
      <c r="D47" t="s">
        <v>362</v>
      </c>
    </row>
    <row r="48" spans="3:4">
      <c r="C48" t="s">
        <v>362</v>
      </c>
      <c r="D48" t="s">
        <v>362</v>
      </c>
    </row>
    <row r="49" spans="3:4">
      <c r="C49" t="s">
        <v>362</v>
      </c>
      <c r="D49" t="s">
        <v>362</v>
      </c>
    </row>
    <row r="50" spans="3:4">
      <c r="C50" t="s">
        <v>362</v>
      </c>
      <c r="D50" t="s">
        <v>362</v>
      </c>
    </row>
    <row r="51" spans="3:4">
      <c r="C51" t="s">
        <v>362</v>
      </c>
      <c r="D51" t="s">
        <v>362</v>
      </c>
    </row>
    <row r="52" spans="3:4">
      <c r="C52" t="s">
        <v>362</v>
      </c>
      <c r="D52" t="s">
        <v>362</v>
      </c>
    </row>
    <row r="53" spans="3:4">
      <c r="C53" t="s">
        <v>362</v>
      </c>
      <c r="D53" t="s">
        <v>362</v>
      </c>
    </row>
    <row r="54" spans="3:4">
      <c r="C54" t="s">
        <v>362</v>
      </c>
      <c r="D54" t="s">
        <v>362</v>
      </c>
    </row>
    <row r="55" spans="3:4">
      <c r="C55" t="s">
        <v>362</v>
      </c>
      <c r="D55" t="s">
        <v>362</v>
      </c>
    </row>
    <row r="56" spans="3:4">
      <c r="C56" t="s">
        <v>362</v>
      </c>
      <c r="D56" t="s">
        <v>362</v>
      </c>
    </row>
    <row r="57" spans="3:4">
      <c r="C57" t="s">
        <v>362</v>
      </c>
      <c r="D57" t="s">
        <v>362</v>
      </c>
    </row>
    <row r="58" spans="3:4">
      <c r="C58" t="s">
        <v>362</v>
      </c>
      <c r="D58" t="s">
        <v>362</v>
      </c>
    </row>
    <row r="59" spans="3:4">
      <c r="C59" t="s">
        <v>362</v>
      </c>
      <c r="D59" t="s">
        <v>362</v>
      </c>
    </row>
    <row r="60" spans="3:4">
      <c r="C60" t="s">
        <v>362</v>
      </c>
      <c r="D60" t="s">
        <v>362</v>
      </c>
    </row>
    <row r="61" spans="3:4">
      <c r="C61" t="s">
        <v>362</v>
      </c>
      <c r="D61" t="s">
        <v>362</v>
      </c>
    </row>
    <row r="62" spans="3:4">
      <c r="C62" t="s">
        <v>362</v>
      </c>
      <c r="D62" t="s">
        <v>362</v>
      </c>
    </row>
    <row r="63" spans="3:4">
      <c r="C63" t="s">
        <v>362</v>
      </c>
      <c r="D63" t="s">
        <v>362</v>
      </c>
    </row>
    <row r="64" spans="3:4">
      <c r="C64" t="s">
        <v>362</v>
      </c>
      <c r="D64" t="s">
        <v>362</v>
      </c>
    </row>
    <row r="65" spans="3:4">
      <c r="C65" t="s">
        <v>362</v>
      </c>
      <c r="D65" t="s">
        <v>362</v>
      </c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360</v>
      </c>
      <c r="D7" t="s">
        <v>360</v>
      </c>
    </row>
    <row r="8" spans="3:4">
      <c r="C8" t="s">
        <v>360</v>
      </c>
      <c r="D8" t="s">
        <v>360</v>
      </c>
    </row>
    <row r="9" spans="3:4">
      <c r="C9" t="s">
        <v>360</v>
      </c>
      <c r="D9" t="s">
        <v>360</v>
      </c>
    </row>
    <row r="10" spans="3:4">
      <c r="C10" t="s">
        <v>360</v>
      </c>
      <c r="D10" t="s">
        <v>360</v>
      </c>
    </row>
    <row r="11" spans="3:4">
      <c r="C11" t="s">
        <v>360</v>
      </c>
      <c r="D11" t="s">
        <v>360</v>
      </c>
    </row>
    <row r="12" spans="3:4">
      <c r="C12" t="s">
        <v>360</v>
      </c>
      <c r="D12" t="s">
        <v>360</v>
      </c>
    </row>
    <row r="13" spans="3:4">
      <c r="C13" t="s">
        <v>360</v>
      </c>
      <c r="D13" t="s">
        <v>360</v>
      </c>
    </row>
    <row r="14" spans="3:4">
      <c r="C14" t="s">
        <v>360</v>
      </c>
      <c r="D14" t="s">
        <v>360</v>
      </c>
    </row>
    <row r="15" spans="3:4">
      <c r="C15" t="s">
        <v>360</v>
      </c>
      <c r="D15" t="s">
        <v>360</v>
      </c>
    </row>
    <row r="16" spans="3:4">
      <c r="C16" t="s">
        <v>360</v>
      </c>
      <c r="D16" t="s">
        <v>360</v>
      </c>
    </row>
    <row r="17" spans="3:4">
      <c r="C17" t="s">
        <v>360</v>
      </c>
      <c r="D17" t="s">
        <v>360</v>
      </c>
    </row>
    <row r="18" spans="3:4">
      <c r="C18" t="s">
        <v>360</v>
      </c>
      <c r="D18" t="s">
        <v>360</v>
      </c>
    </row>
    <row r="19" spans="3:4">
      <c r="C19" t="s">
        <v>360</v>
      </c>
      <c r="D19" t="s">
        <v>360</v>
      </c>
    </row>
    <row r="20" spans="3:4">
      <c r="C20" t="s">
        <v>360</v>
      </c>
      <c r="D20" t="s">
        <v>360</v>
      </c>
    </row>
    <row r="21" spans="3:4">
      <c r="C21" t="s">
        <v>360</v>
      </c>
      <c r="D21" t="s">
        <v>360</v>
      </c>
    </row>
    <row r="22" spans="3:4">
      <c r="C22" t="s">
        <v>360</v>
      </c>
      <c r="D22" t="s">
        <v>360</v>
      </c>
    </row>
    <row r="23" spans="3:4">
      <c r="C23" t="s">
        <v>360</v>
      </c>
      <c r="D23" t="s">
        <v>360</v>
      </c>
    </row>
    <row r="24" spans="3:4">
      <c r="C24" t="s">
        <v>360</v>
      </c>
      <c r="D24" t="s">
        <v>360</v>
      </c>
    </row>
    <row r="25" spans="3:4">
      <c r="C25" t="s">
        <v>360</v>
      </c>
      <c r="D25" t="s">
        <v>360</v>
      </c>
    </row>
    <row r="26" spans="3:4">
      <c r="C26" t="s">
        <v>360</v>
      </c>
      <c r="D26" t="s">
        <v>360</v>
      </c>
    </row>
    <row r="27" spans="3:4">
      <c r="C27" t="s">
        <v>360</v>
      </c>
      <c r="D27" t="s">
        <v>360</v>
      </c>
    </row>
    <row r="28" spans="3:4">
      <c r="C28" t="s">
        <v>360</v>
      </c>
      <c r="D28" t="s">
        <v>360</v>
      </c>
    </row>
    <row r="29" spans="3:4">
      <c r="C29" t="s">
        <v>360</v>
      </c>
      <c r="D29" t="s">
        <v>360</v>
      </c>
    </row>
    <row r="30" spans="3:4">
      <c r="C30" t="s">
        <v>360</v>
      </c>
      <c r="D30" t="s">
        <v>360</v>
      </c>
    </row>
    <row r="31" spans="3:4">
      <c r="C31" t="s">
        <v>360</v>
      </c>
      <c r="D31" t="s">
        <v>360</v>
      </c>
    </row>
    <row r="32" spans="3:4">
      <c r="C32" t="s">
        <v>360</v>
      </c>
      <c r="D32" t="s">
        <v>360</v>
      </c>
    </row>
    <row r="33" spans="3:4">
      <c r="C33" t="s">
        <v>360</v>
      </c>
      <c r="D33" t="s">
        <v>360</v>
      </c>
    </row>
    <row r="34" spans="3:4">
      <c r="C34" t="s">
        <v>360</v>
      </c>
      <c r="D34" t="s">
        <v>360</v>
      </c>
    </row>
    <row r="35" spans="3:4">
      <c r="C35" t="s">
        <v>360</v>
      </c>
      <c r="D35" t="s">
        <v>360</v>
      </c>
    </row>
    <row r="36" spans="3:4">
      <c r="C36" t="s">
        <v>360</v>
      </c>
      <c r="D36" t="s">
        <v>360</v>
      </c>
    </row>
    <row r="37" spans="3:4">
      <c r="C37" t="s">
        <v>360</v>
      </c>
      <c r="D37" t="s">
        <v>360</v>
      </c>
    </row>
    <row r="38" spans="3:4">
      <c r="C38" t="s">
        <v>360</v>
      </c>
      <c r="D38" t="s">
        <v>360</v>
      </c>
    </row>
    <row r="39" spans="3:4">
      <c r="C39" t="s">
        <v>360</v>
      </c>
      <c r="D39" t="s">
        <v>360</v>
      </c>
    </row>
    <row r="40" spans="3:4">
      <c r="C40" t="s">
        <v>360</v>
      </c>
      <c r="D40" t="s">
        <v>360</v>
      </c>
    </row>
    <row r="41" spans="3:4">
      <c r="C41" t="s">
        <v>360</v>
      </c>
      <c r="D41" t="s">
        <v>360</v>
      </c>
    </row>
    <row r="42" spans="3:4">
      <c r="C42" t="s">
        <v>360</v>
      </c>
      <c r="D42" t="s">
        <v>360</v>
      </c>
    </row>
    <row r="43" spans="3:4">
      <c r="C43" t="s">
        <v>360</v>
      </c>
      <c r="D43" t="s">
        <v>360</v>
      </c>
    </row>
    <row r="44" spans="3:4">
      <c r="C44" t="s">
        <v>360</v>
      </c>
      <c r="D44" t="s">
        <v>360</v>
      </c>
    </row>
    <row r="45" spans="3:4">
      <c r="C45" t="s">
        <v>360</v>
      </c>
      <c r="D45" t="s">
        <v>360</v>
      </c>
    </row>
    <row r="46" spans="3:4">
      <c r="C46" t="s">
        <v>360</v>
      </c>
      <c r="D46" t="s">
        <v>360</v>
      </c>
    </row>
    <row r="47" spans="3:4">
      <c r="C47" t="s">
        <v>360</v>
      </c>
      <c r="D47" t="s">
        <v>360</v>
      </c>
    </row>
    <row r="48" spans="3:4">
      <c r="C48" t="s">
        <v>360</v>
      </c>
      <c r="D48" t="s">
        <v>360</v>
      </c>
    </row>
    <row r="49" spans="3:4">
      <c r="C49" t="s">
        <v>360</v>
      </c>
      <c r="D49" t="s">
        <v>360</v>
      </c>
    </row>
    <row r="50" spans="3:4">
      <c r="C50" t="s">
        <v>360</v>
      </c>
      <c r="D50" t="s">
        <v>360</v>
      </c>
    </row>
    <row r="51" spans="3:4">
      <c r="C51" t="s">
        <v>360</v>
      </c>
      <c r="D51" t="s">
        <v>360</v>
      </c>
    </row>
    <row r="52" spans="3:4">
      <c r="C52" t="s">
        <v>360</v>
      </c>
      <c r="D52" t="s">
        <v>360</v>
      </c>
    </row>
    <row r="53" spans="3:4">
      <c r="C53" t="s">
        <v>360</v>
      </c>
      <c r="D53" t="s">
        <v>360</v>
      </c>
    </row>
    <row r="54" spans="3:4">
      <c r="C54" t="s">
        <v>360</v>
      </c>
      <c r="D54" t="s">
        <v>360</v>
      </c>
    </row>
    <row r="55" spans="3:4">
      <c r="C55" t="s">
        <v>360</v>
      </c>
      <c r="D55" t="s">
        <v>360</v>
      </c>
    </row>
    <row r="56" spans="3:4">
      <c r="C56" t="s">
        <v>360</v>
      </c>
      <c r="D56" t="s">
        <v>360</v>
      </c>
    </row>
    <row r="57" spans="3:4">
      <c r="C57" t="s">
        <v>360</v>
      </c>
      <c r="D57" t="s">
        <v>360</v>
      </c>
    </row>
    <row r="58" spans="3:4">
      <c r="C58" t="s">
        <v>360</v>
      </c>
      <c r="D58" t="s">
        <v>360</v>
      </c>
    </row>
    <row r="59" spans="3:4">
      <c r="C59" t="s">
        <v>360</v>
      </c>
      <c r="D59" t="s">
        <v>360</v>
      </c>
    </row>
    <row r="60" spans="3:4">
      <c r="C60" t="s">
        <v>360</v>
      </c>
      <c r="D60" t="s">
        <v>360</v>
      </c>
    </row>
    <row r="61" spans="3:4">
      <c r="C61" t="s">
        <v>360</v>
      </c>
      <c r="D61" t="s">
        <v>360</v>
      </c>
    </row>
    <row r="62" spans="3:4">
      <c r="C62" t="s">
        <v>360</v>
      </c>
      <c r="D62" t="s">
        <v>360</v>
      </c>
    </row>
    <row r="63" spans="3:4">
      <c r="C63" t="s">
        <v>360</v>
      </c>
      <c r="D63" t="s">
        <v>360</v>
      </c>
    </row>
    <row r="64" spans="3:4">
      <c r="C64" t="s">
        <v>360</v>
      </c>
      <c r="D64" t="s">
        <v>360</v>
      </c>
    </row>
    <row r="65" spans="3:4">
      <c r="C65" t="s">
        <v>360</v>
      </c>
      <c r="D65" t="s">
        <v>360</v>
      </c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358</v>
      </c>
      <c r="D7" t="s">
        <v>358</v>
      </c>
    </row>
    <row r="8" spans="3:4">
      <c r="C8" t="s">
        <v>358</v>
      </c>
      <c r="D8" t="s">
        <v>358</v>
      </c>
    </row>
    <row r="9" spans="3:4">
      <c r="C9" t="s">
        <v>358</v>
      </c>
      <c r="D9" t="s">
        <v>358</v>
      </c>
    </row>
    <row r="10" spans="3:4">
      <c r="C10" t="s">
        <v>358</v>
      </c>
      <c r="D10" t="s">
        <v>358</v>
      </c>
    </row>
    <row r="11" spans="3:4">
      <c r="C11" t="s">
        <v>358</v>
      </c>
      <c r="D11" t="s">
        <v>358</v>
      </c>
    </row>
    <row r="12" spans="3:4">
      <c r="C12" t="s">
        <v>358</v>
      </c>
      <c r="D12" t="s">
        <v>358</v>
      </c>
    </row>
    <row r="13" spans="3:4">
      <c r="C13" t="s">
        <v>358</v>
      </c>
      <c r="D13" t="s">
        <v>358</v>
      </c>
    </row>
    <row r="14" spans="3:4">
      <c r="C14" t="s">
        <v>358</v>
      </c>
      <c r="D14" t="s">
        <v>358</v>
      </c>
    </row>
    <row r="15" spans="3:4">
      <c r="C15" t="s">
        <v>358</v>
      </c>
      <c r="D15" t="s">
        <v>358</v>
      </c>
    </row>
    <row r="16" spans="3:4">
      <c r="C16" t="s">
        <v>358</v>
      </c>
      <c r="D16" t="s">
        <v>358</v>
      </c>
    </row>
    <row r="17" spans="3:4">
      <c r="C17" t="s">
        <v>358</v>
      </c>
      <c r="D17" t="s">
        <v>358</v>
      </c>
    </row>
    <row r="18" spans="3:4">
      <c r="C18" t="s">
        <v>358</v>
      </c>
      <c r="D18" t="s">
        <v>358</v>
      </c>
    </row>
    <row r="19" spans="3:4">
      <c r="C19" t="s">
        <v>358</v>
      </c>
      <c r="D19" t="s">
        <v>358</v>
      </c>
    </row>
    <row r="20" spans="3:4">
      <c r="C20" t="s">
        <v>358</v>
      </c>
      <c r="D20" t="s">
        <v>358</v>
      </c>
    </row>
    <row r="21" spans="3:4">
      <c r="C21" t="s">
        <v>358</v>
      </c>
      <c r="D21" t="s">
        <v>358</v>
      </c>
    </row>
    <row r="22" spans="3:4">
      <c r="C22" t="s">
        <v>358</v>
      </c>
      <c r="D22" t="s">
        <v>358</v>
      </c>
    </row>
    <row r="23" spans="3:4">
      <c r="C23" t="s">
        <v>358</v>
      </c>
      <c r="D23" t="s">
        <v>358</v>
      </c>
    </row>
    <row r="24" spans="3:4">
      <c r="C24" t="s">
        <v>358</v>
      </c>
      <c r="D24" t="s">
        <v>358</v>
      </c>
    </row>
    <row r="25" spans="3:4">
      <c r="C25" t="s">
        <v>358</v>
      </c>
      <c r="D25" t="s">
        <v>358</v>
      </c>
    </row>
    <row r="26" spans="3:4">
      <c r="C26" t="s">
        <v>358</v>
      </c>
      <c r="D26" t="s">
        <v>358</v>
      </c>
    </row>
    <row r="27" spans="3:4">
      <c r="C27" t="s">
        <v>358</v>
      </c>
      <c r="D27" t="s">
        <v>358</v>
      </c>
    </row>
    <row r="28" spans="3:4">
      <c r="C28" t="s">
        <v>358</v>
      </c>
      <c r="D28" t="s">
        <v>358</v>
      </c>
    </row>
    <row r="29" spans="3:4">
      <c r="C29" t="s">
        <v>358</v>
      </c>
      <c r="D29" t="s">
        <v>358</v>
      </c>
    </row>
    <row r="30" spans="3:4">
      <c r="C30" t="s">
        <v>358</v>
      </c>
      <c r="D30" t="s">
        <v>358</v>
      </c>
    </row>
    <row r="31" spans="3:4">
      <c r="C31" t="s">
        <v>358</v>
      </c>
      <c r="D31" t="s">
        <v>358</v>
      </c>
    </row>
    <row r="32" spans="3:4">
      <c r="C32" t="s">
        <v>358</v>
      </c>
      <c r="D32" t="s">
        <v>358</v>
      </c>
    </row>
    <row r="33" spans="3:4">
      <c r="C33" t="s">
        <v>358</v>
      </c>
      <c r="D33" t="s">
        <v>358</v>
      </c>
    </row>
    <row r="34" spans="3:4">
      <c r="C34" t="s">
        <v>358</v>
      </c>
      <c r="D34" t="s">
        <v>358</v>
      </c>
    </row>
    <row r="35" spans="3:4">
      <c r="C35" t="s">
        <v>358</v>
      </c>
      <c r="D35" t="s">
        <v>358</v>
      </c>
    </row>
    <row r="36" spans="3:4">
      <c r="C36" t="s">
        <v>358</v>
      </c>
      <c r="D36" t="s">
        <v>358</v>
      </c>
    </row>
    <row r="37" spans="3:4">
      <c r="C37" t="s">
        <v>358</v>
      </c>
      <c r="D37" t="s">
        <v>358</v>
      </c>
    </row>
    <row r="38" spans="3:4">
      <c r="C38" t="s">
        <v>358</v>
      </c>
      <c r="D38" t="s">
        <v>358</v>
      </c>
    </row>
    <row r="39" spans="3:4">
      <c r="C39" t="s">
        <v>358</v>
      </c>
      <c r="D39" t="s">
        <v>358</v>
      </c>
    </row>
    <row r="40" spans="3:4">
      <c r="C40" t="s">
        <v>358</v>
      </c>
      <c r="D40" t="s">
        <v>358</v>
      </c>
    </row>
    <row r="41" spans="3:4">
      <c r="C41" t="s">
        <v>358</v>
      </c>
      <c r="D41" t="s">
        <v>358</v>
      </c>
    </row>
    <row r="42" spans="3:4">
      <c r="C42" t="s">
        <v>358</v>
      </c>
      <c r="D42" t="s">
        <v>358</v>
      </c>
    </row>
    <row r="43" spans="3:4">
      <c r="C43" t="s">
        <v>358</v>
      </c>
      <c r="D43" t="s">
        <v>358</v>
      </c>
    </row>
    <row r="44" spans="3:4">
      <c r="C44" t="s">
        <v>358</v>
      </c>
      <c r="D44" t="s">
        <v>358</v>
      </c>
    </row>
    <row r="45" spans="3:4">
      <c r="C45" t="s">
        <v>358</v>
      </c>
      <c r="D45" t="s">
        <v>358</v>
      </c>
    </row>
    <row r="46" spans="3:4">
      <c r="C46" t="s">
        <v>358</v>
      </c>
      <c r="D46" t="s">
        <v>358</v>
      </c>
    </row>
    <row r="47" spans="3:4">
      <c r="C47" t="s">
        <v>358</v>
      </c>
      <c r="D47" t="s">
        <v>358</v>
      </c>
    </row>
    <row r="48" spans="3:4">
      <c r="C48" t="s">
        <v>358</v>
      </c>
      <c r="D48" t="s">
        <v>358</v>
      </c>
    </row>
    <row r="49" spans="3:4">
      <c r="C49" t="s">
        <v>358</v>
      </c>
      <c r="D49" t="s">
        <v>358</v>
      </c>
    </row>
    <row r="50" spans="3:4">
      <c r="C50" t="s">
        <v>358</v>
      </c>
      <c r="D50" t="s">
        <v>358</v>
      </c>
    </row>
    <row r="51" spans="3:4">
      <c r="C51" t="s">
        <v>358</v>
      </c>
      <c r="D51" t="s">
        <v>358</v>
      </c>
    </row>
    <row r="52" spans="3:4">
      <c r="C52" t="s">
        <v>358</v>
      </c>
      <c r="D52" t="s">
        <v>358</v>
      </c>
    </row>
    <row r="53" spans="3:4">
      <c r="C53" t="s">
        <v>358</v>
      </c>
      <c r="D53" t="s">
        <v>358</v>
      </c>
    </row>
    <row r="54" spans="3:4">
      <c r="C54" t="s">
        <v>358</v>
      </c>
      <c r="D54" t="s">
        <v>358</v>
      </c>
    </row>
    <row r="55" spans="3:4">
      <c r="C55" t="s">
        <v>358</v>
      </c>
      <c r="D55" t="s">
        <v>358</v>
      </c>
    </row>
    <row r="56" spans="3:4">
      <c r="C56" t="s">
        <v>358</v>
      </c>
      <c r="D56" t="s">
        <v>358</v>
      </c>
    </row>
    <row r="57" spans="3:4">
      <c r="C57" t="s">
        <v>358</v>
      </c>
      <c r="D57" t="s">
        <v>358</v>
      </c>
    </row>
    <row r="58" spans="3:4">
      <c r="C58" t="s">
        <v>358</v>
      </c>
      <c r="D58" t="s">
        <v>358</v>
      </c>
    </row>
    <row r="59" spans="3:4">
      <c r="C59" t="s">
        <v>358</v>
      </c>
      <c r="D59" t="s">
        <v>358</v>
      </c>
    </row>
    <row r="60" spans="3:4">
      <c r="C60" t="s">
        <v>358</v>
      </c>
      <c r="D60" t="s">
        <v>358</v>
      </c>
    </row>
    <row r="61" spans="3:4">
      <c r="C61" t="s">
        <v>358</v>
      </c>
      <c r="D61" t="s">
        <v>358</v>
      </c>
    </row>
    <row r="62" spans="3:4">
      <c r="C62" t="s">
        <v>358</v>
      </c>
      <c r="D62" t="s">
        <v>358</v>
      </c>
    </row>
    <row r="63" spans="3:4">
      <c r="C63" t="s">
        <v>358</v>
      </c>
      <c r="D63" t="s">
        <v>358</v>
      </c>
    </row>
    <row r="64" spans="3:4">
      <c r="C64" t="s">
        <v>358</v>
      </c>
      <c r="D64" t="s">
        <v>358</v>
      </c>
    </row>
    <row r="65" spans="3:4">
      <c r="C65" t="s">
        <v>358</v>
      </c>
      <c r="D65" t="s">
        <v>358</v>
      </c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356</v>
      </c>
      <c r="D7" t="s">
        <v>356</v>
      </c>
    </row>
    <row r="8" spans="3:4">
      <c r="C8" t="s">
        <v>356</v>
      </c>
      <c r="D8" t="s">
        <v>356</v>
      </c>
    </row>
    <row r="9" spans="3:4">
      <c r="C9" t="s">
        <v>356</v>
      </c>
      <c r="D9" t="s">
        <v>356</v>
      </c>
    </row>
    <row r="10" spans="3:4">
      <c r="C10" t="s">
        <v>356</v>
      </c>
      <c r="D10" t="s">
        <v>356</v>
      </c>
    </row>
    <row r="11" spans="3:4">
      <c r="C11" t="s">
        <v>356</v>
      </c>
      <c r="D11" t="s">
        <v>356</v>
      </c>
    </row>
    <row r="12" spans="3:4">
      <c r="C12" t="s">
        <v>356</v>
      </c>
      <c r="D12" t="s">
        <v>356</v>
      </c>
    </row>
    <row r="13" spans="3:4">
      <c r="C13" t="s">
        <v>356</v>
      </c>
      <c r="D13" t="s">
        <v>356</v>
      </c>
    </row>
    <row r="14" spans="3:4">
      <c r="C14" t="s">
        <v>356</v>
      </c>
      <c r="D14" t="s">
        <v>356</v>
      </c>
    </row>
    <row r="15" spans="3:4">
      <c r="C15" t="s">
        <v>356</v>
      </c>
      <c r="D15" t="s">
        <v>356</v>
      </c>
    </row>
    <row r="16" spans="3:4">
      <c r="C16" t="s">
        <v>356</v>
      </c>
      <c r="D16" t="s">
        <v>356</v>
      </c>
    </row>
    <row r="17" spans="3:4">
      <c r="C17" t="s">
        <v>356</v>
      </c>
      <c r="D17" t="s">
        <v>356</v>
      </c>
    </row>
    <row r="18" spans="3:4">
      <c r="C18" t="s">
        <v>356</v>
      </c>
      <c r="D18" t="s">
        <v>356</v>
      </c>
    </row>
    <row r="19" spans="3:4">
      <c r="C19" t="s">
        <v>356</v>
      </c>
      <c r="D19" t="s">
        <v>356</v>
      </c>
    </row>
    <row r="20" spans="3:4">
      <c r="C20" t="s">
        <v>356</v>
      </c>
      <c r="D20" t="s">
        <v>356</v>
      </c>
    </row>
    <row r="21" spans="3:4">
      <c r="C21" t="s">
        <v>356</v>
      </c>
      <c r="D21" t="s">
        <v>356</v>
      </c>
    </row>
    <row r="22" spans="3:4">
      <c r="C22" t="s">
        <v>356</v>
      </c>
      <c r="D22" t="s">
        <v>356</v>
      </c>
    </row>
    <row r="23" spans="3:4">
      <c r="C23" t="s">
        <v>356</v>
      </c>
      <c r="D23" t="s">
        <v>356</v>
      </c>
    </row>
    <row r="24" spans="3:4">
      <c r="C24" t="s">
        <v>356</v>
      </c>
      <c r="D24" t="s">
        <v>356</v>
      </c>
    </row>
    <row r="25" spans="3:4">
      <c r="C25" t="s">
        <v>356</v>
      </c>
      <c r="D25" t="s">
        <v>356</v>
      </c>
    </row>
    <row r="26" spans="3:4">
      <c r="C26" t="s">
        <v>356</v>
      </c>
      <c r="D26" t="s">
        <v>356</v>
      </c>
    </row>
    <row r="27" spans="3:4">
      <c r="C27" t="s">
        <v>356</v>
      </c>
      <c r="D27" t="s">
        <v>356</v>
      </c>
    </row>
    <row r="28" spans="3:4">
      <c r="C28" t="s">
        <v>356</v>
      </c>
      <c r="D28" t="s">
        <v>356</v>
      </c>
    </row>
    <row r="29" spans="3:4">
      <c r="C29" t="s">
        <v>356</v>
      </c>
      <c r="D29" t="s">
        <v>356</v>
      </c>
    </row>
    <row r="30" spans="3:4">
      <c r="C30" t="s">
        <v>356</v>
      </c>
      <c r="D30" t="s">
        <v>356</v>
      </c>
    </row>
    <row r="31" spans="3:4">
      <c r="C31" t="s">
        <v>356</v>
      </c>
      <c r="D31" t="s">
        <v>356</v>
      </c>
    </row>
    <row r="32" spans="3:4">
      <c r="C32" t="s">
        <v>356</v>
      </c>
      <c r="D32" t="s">
        <v>356</v>
      </c>
    </row>
    <row r="33" spans="3:4">
      <c r="C33" t="s">
        <v>356</v>
      </c>
      <c r="D33" t="s">
        <v>356</v>
      </c>
    </row>
    <row r="34" spans="3:4">
      <c r="C34" t="s">
        <v>356</v>
      </c>
      <c r="D34" t="s">
        <v>356</v>
      </c>
    </row>
    <row r="35" spans="3:4">
      <c r="C35" t="s">
        <v>356</v>
      </c>
      <c r="D35" t="s">
        <v>356</v>
      </c>
    </row>
    <row r="36" spans="3:4">
      <c r="C36" t="s">
        <v>356</v>
      </c>
      <c r="D36" t="s">
        <v>356</v>
      </c>
    </row>
    <row r="37" spans="3:4">
      <c r="C37" t="s">
        <v>356</v>
      </c>
      <c r="D37" t="s">
        <v>356</v>
      </c>
    </row>
    <row r="38" spans="3:4">
      <c r="C38" t="s">
        <v>356</v>
      </c>
      <c r="D38" t="s">
        <v>356</v>
      </c>
    </row>
    <row r="39" spans="3:4">
      <c r="C39" t="s">
        <v>356</v>
      </c>
      <c r="D39" t="s">
        <v>356</v>
      </c>
    </row>
    <row r="40" spans="3:4">
      <c r="C40" t="s">
        <v>356</v>
      </c>
      <c r="D40" t="s">
        <v>356</v>
      </c>
    </row>
    <row r="41" spans="3:4">
      <c r="C41" t="s">
        <v>356</v>
      </c>
      <c r="D41" t="s">
        <v>356</v>
      </c>
    </row>
    <row r="42" spans="3:4">
      <c r="C42" t="s">
        <v>356</v>
      </c>
      <c r="D42" t="s">
        <v>356</v>
      </c>
    </row>
    <row r="43" spans="3:4">
      <c r="C43" t="s">
        <v>356</v>
      </c>
      <c r="D43" t="s">
        <v>356</v>
      </c>
    </row>
    <row r="44" spans="3:4">
      <c r="C44" t="s">
        <v>356</v>
      </c>
      <c r="D44" t="s">
        <v>356</v>
      </c>
    </row>
    <row r="45" spans="3:4">
      <c r="C45" t="s">
        <v>356</v>
      </c>
      <c r="D45" t="s">
        <v>356</v>
      </c>
    </row>
    <row r="46" spans="3:4">
      <c r="C46" t="s">
        <v>356</v>
      </c>
      <c r="D46" t="s">
        <v>356</v>
      </c>
    </row>
    <row r="47" spans="3:4">
      <c r="C47" t="s">
        <v>356</v>
      </c>
      <c r="D47" t="s">
        <v>356</v>
      </c>
    </row>
    <row r="48" spans="3:4">
      <c r="C48" t="s">
        <v>356</v>
      </c>
      <c r="D48" t="s">
        <v>356</v>
      </c>
    </row>
    <row r="49" spans="3:4">
      <c r="C49" t="s">
        <v>356</v>
      </c>
      <c r="D49" t="s">
        <v>356</v>
      </c>
    </row>
    <row r="50" spans="3:4">
      <c r="C50" t="s">
        <v>356</v>
      </c>
      <c r="D50" t="s">
        <v>356</v>
      </c>
    </row>
    <row r="51" spans="3:4">
      <c r="C51" t="s">
        <v>356</v>
      </c>
      <c r="D51" t="s">
        <v>356</v>
      </c>
    </row>
    <row r="52" spans="3:4">
      <c r="C52" t="s">
        <v>356</v>
      </c>
      <c r="D52" t="s">
        <v>356</v>
      </c>
    </row>
    <row r="53" spans="3:4">
      <c r="C53" t="s">
        <v>356</v>
      </c>
      <c r="D53" t="s">
        <v>356</v>
      </c>
    </row>
    <row r="54" spans="3:4">
      <c r="C54" t="s">
        <v>356</v>
      </c>
      <c r="D54" t="s">
        <v>356</v>
      </c>
    </row>
    <row r="55" spans="3:4">
      <c r="C55" t="s">
        <v>356</v>
      </c>
      <c r="D55" t="s">
        <v>356</v>
      </c>
    </row>
    <row r="56" spans="3:4">
      <c r="C56" t="s">
        <v>356</v>
      </c>
      <c r="D56" t="s">
        <v>356</v>
      </c>
    </row>
    <row r="57" spans="3:4">
      <c r="C57" t="s">
        <v>356</v>
      </c>
      <c r="D57" t="s">
        <v>356</v>
      </c>
    </row>
    <row r="58" spans="3:4">
      <c r="C58" t="s">
        <v>356</v>
      </c>
      <c r="D58" t="s">
        <v>356</v>
      </c>
    </row>
    <row r="59" spans="3:4">
      <c r="C59" t="s">
        <v>356</v>
      </c>
      <c r="D59" t="s">
        <v>356</v>
      </c>
    </row>
    <row r="60" spans="3:4">
      <c r="C60" t="s">
        <v>356</v>
      </c>
      <c r="D60" t="s">
        <v>356</v>
      </c>
    </row>
    <row r="61" spans="3:4">
      <c r="C61" t="s">
        <v>356</v>
      </c>
      <c r="D61" t="s">
        <v>356</v>
      </c>
    </row>
    <row r="62" spans="3:4">
      <c r="C62" t="s">
        <v>356</v>
      </c>
      <c r="D62" t="s">
        <v>356</v>
      </c>
    </row>
    <row r="63" spans="3:4">
      <c r="C63" t="s">
        <v>356</v>
      </c>
      <c r="D63" t="s">
        <v>356</v>
      </c>
    </row>
    <row r="64" spans="3:4">
      <c r="C64" t="s">
        <v>356</v>
      </c>
      <c r="D64" t="s">
        <v>356</v>
      </c>
    </row>
    <row r="65" spans="3:4">
      <c r="C65" t="s">
        <v>356</v>
      </c>
      <c r="D65" t="s">
        <v>356</v>
      </c>
    </row>
  </sheetData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354</v>
      </c>
      <c r="D7" t="s">
        <v>354</v>
      </c>
    </row>
    <row r="8" spans="3:4">
      <c r="C8" t="s">
        <v>354</v>
      </c>
      <c r="D8" t="s">
        <v>354</v>
      </c>
    </row>
    <row r="9" spans="3:4">
      <c r="C9" t="s">
        <v>354</v>
      </c>
      <c r="D9" t="s">
        <v>354</v>
      </c>
    </row>
    <row r="10" spans="3:4">
      <c r="C10" t="s">
        <v>354</v>
      </c>
      <c r="D10" t="s">
        <v>354</v>
      </c>
    </row>
    <row r="11" spans="3:4">
      <c r="C11" t="s">
        <v>354</v>
      </c>
      <c r="D11" t="s">
        <v>354</v>
      </c>
    </row>
    <row r="12" spans="3:4">
      <c r="C12" t="s">
        <v>354</v>
      </c>
      <c r="D12" t="s">
        <v>354</v>
      </c>
    </row>
    <row r="13" spans="3:4">
      <c r="C13" t="s">
        <v>354</v>
      </c>
      <c r="D13" t="s">
        <v>354</v>
      </c>
    </row>
    <row r="14" spans="3:4">
      <c r="C14" t="s">
        <v>354</v>
      </c>
      <c r="D14" t="s">
        <v>354</v>
      </c>
    </row>
    <row r="15" spans="3:4">
      <c r="C15" t="s">
        <v>354</v>
      </c>
      <c r="D15" t="s">
        <v>354</v>
      </c>
    </row>
    <row r="16" spans="3:4">
      <c r="C16" t="s">
        <v>354</v>
      </c>
      <c r="D16" t="s">
        <v>354</v>
      </c>
    </row>
    <row r="17" spans="3:4">
      <c r="C17" t="s">
        <v>354</v>
      </c>
      <c r="D17" t="s">
        <v>354</v>
      </c>
    </row>
    <row r="18" spans="3:4">
      <c r="C18" t="s">
        <v>354</v>
      </c>
      <c r="D18" t="s">
        <v>354</v>
      </c>
    </row>
    <row r="19" spans="3:4">
      <c r="C19" t="s">
        <v>354</v>
      </c>
      <c r="D19" t="s">
        <v>354</v>
      </c>
    </row>
    <row r="20" spans="3:4">
      <c r="C20" t="s">
        <v>354</v>
      </c>
      <c r="D20" t="s">
        <v>354</v>
      </c>
    </row>
    <row r="21" spans="3:4">
      <c r="C21" t="s">
        <v>354</v>
      </c>
      <c r="D21" t="s">
        <v>354</v>
      </c>
    </row>
    <row r="22" spans="3:4">
      <c r="C22" t="s">
        <v>354</v>
      </c>
      <c r="D22" t="s">
        <v>354</v>
      </c>
    </row>
    <row r="23" spans="3:4">
      <c r="C23" t="s">
        <v>354</v>
      </c>
      <c r="D23" t="s">
        <v>354</v>
      </c>
    </row>
    <row r="24" spans="3:4">
      <c r="C24" t="s">
        <v>354</v>
      </c>
      <c r="D24" t="s">
        <v>354</v>
      </c>
    </row>
    <row r="25" spans="3:4">
      <c r="C25" t="s">
        <v>354</v>
      </c>
      <c r="D25" t="s">
        <v>354</v>
      </c>
    </row>
    <row r="26" spans="3:4">
      <c r="C26" t="s">
        <v>354</v>
      </c>
      <c r="D26" t="s">
        <v>354</v>
      </c>
    </row>
    <row r="27" spans="3:4">
      <c r="C27" t="s">
        <v>354</v>
      </c>
      <c r="D27" t="s">
        <v>354</v>
      </c>
    </row>
    <row r="28" spans="3:4">
      <c r="C28" t="s">
        <v>354</v>
      </c>
      <c r="D28" t="s">
        <v>354</v>
      </c>
    </row>
    <row r="29" spans="3:4">
      <c r="C29" t="s">
        <v>354</v>
      </c>
      <c r="D29" t="s">
        <v>354</v>
      </c>
    </row>
    <row r="30" spans="3:4">
      <c r="C30" t="s">
        <v>354</v>
      </c>
      <c r="D30" t="s">
        <v>354</v>
      </c>
    </row>
    <row r="31" spans="3:4">
      <c r="C31" t="s">
        <v>354</v>
      </c>
      <c r="D31" t="s">
        <v>354</v>
      </c>
    </row>
    <row r="32" spans="3:4">
      <c r="C32" t="s">
        <v>354</v>
      </c>
      <c r="D32" t="s">
        <v>354</v>
      </c>
    </row>
    <row r="33" spans="3:4">
      <c r="C33" t="s">
        <v>354</v>
      </c>
      <c r="D33" t="s">
        <v>354</v>
      </c>
    </row>
    <row r="34" spans="3:4">
      <c r="C34" t="s">
        <v>354</v>
      </c>
      <c r="D34" t="s">
        <v>354</v>
      </c>
    </row>
    <row r="35" spans="3:4">
      <c r="C35" t="s">
        <v>354</v>
      </c>
      <c r="D35" t="s">
        <v>354</v>
      </c>
    </row>
    <row r="36" spans="3:4">
      <c r="C36" t="s">
        <v>354</v>
      </c>
      <c r="D36" t="s">
        <v>354</v>
      </c>
    </row>
    <row r="37" spans="3:4">
      <c r="C37" t="s">
        <v>354</v>
      </c>
      <c r="D37" t="s">
        <v>354</v>
      </c>
    </row>
    <row r="38" spans="3:4">
      <c r="C38" t="s">
        <v>354</v>
      </c>
      <c r="D38" t="s">
        <v>354</v>
      </c>
    </row>
    <row r="39" spans="3:4">
      <c r="C39" t="s">
        <v>354</v>
      </c>
      <c r="D39" t="s">
        <v>354</v>
      </c>
    </row>
    <row r="40" spans="3:4">
      <c r="C40" t="s">
        <v>354</v>
      </c>
      <c r="D40" t="s">
        <v>354</v>
      </c>
    </row>
    <row r="41" spans="3:4">
      <c r="C41" t="s">
        <v>354</v>
      </c>
      <c r="D41" t="s">
        <v>354</v>
      </c>
    </row>
    <row r="42" spans="3:4">
      <c r="C42" t="s">
        <v>354</v>
      </c>
      <c r="D42" t="s">
        <v>354</v>
      </c>
    </row>
    <row r="43" spans="3:4">
      <c r="C43" t="s">
        <v>354</v>
      </c>
      <c r="D43" t="s">
        <v>354</v>
      </c>
    </row>
    <row r="44" spans="3:4">
      <c r="C44" t="s">
        <v>354</v>
      </c>
      <c r="D44" t="s">
        <v>354</v>
      </c>
    </row>
    <row r="45" spans="3:4">
      <c r="C45" t="s">
        <v>354</v>
      </c>
      <c r="D45" t="s">
        <v>354</v>
      </c>
    </row>
    <row r="46" spans="3:4">
      <c r="C46" t="s">
        <v>354</v>
      </c>
      <c r="D46" t="s">
        <v>354</v>
      </c>
    </row>
    <row r="47" spans="3:4">
      <c r="C47" t="s">
        <v>354</v>
      </c>
      <c r="D47" t="s">
        <v>354</v>
      </c>
    </row>
    <row r="48" spans="3:4">
      <c r="C48" t="s">
        <v>354</v>
      </c>
      <c r="D48" t="s">
        <v>354</v>
      </c>
    </row>
    <row r="49" spans="3:4">
      <c r="C49" t="s">
        <v>354</v>
      </c>
      <c r="D49" t="s">
        <v>354</v>
      </c>
    </row>
    <row r="50" spans="3:4">
      <c r="C50" t="s">
        <v>354</v>
      </c>
      <c r="D50" t="s">
        <v>354</v>
      </c>
    </row>
    <row r="51" spans="3:4">
      <c r="C51" t="s">
        <v>354</v>
      </c>
      <c r="D51" t="s">
        <v>354</v>
      </c>
    </row>
    <row r="52" spans="3:4">
      <c r="C52" t="s">
        <v>354</v>
      </c>
      <c r="D52" t="s">
        <v>354</v>
      </c>
    </row>
    <row r="53" spans="3:4">
      <c r="C53" t="s">
        <v>354</v>
      </c>
      <c r="D53" t="s">
        <v>354</v>
      </c>
    </row>
    <row r="54" spans="3:4">
      <c r="C54" t="s">
        <v>354</v>
      </c>
      <c r="D54" t="s">
        <v>354</v>
      </c>
    </row>
    <row r="55" spans="3:4">
      <c r="C55" t="s">
        <v>354</v>
      </c>
      <c r="D55" t="s">
        <v>354</v>
      </c>
    </row>
    <row r="56" spans="3:4">
      <c r="C56" t="s">
        <v>354</v>
      </c>
      <c r="D56" t="s">
        <v>354</v>
      </c>
    </row>
    <row r="57" spans="3:4">
      <c r="C57" t="s">
        <v>354</v>
      </c>
      <c r="D57" t="s">
        <v>354</v>
      </c>
    </row>
    <row r="58" spans="3:4">
      <c r="C58" t="s">
        <v>354</v>
      </c>
      <c r="D58" t="s">
        <v>354</v>
      </c>
    </row>
    <row r="59" spans="3:4">
      <c r="C59" t="s">
        <v>354</v>
      </c>
      <c r="D59" t="s">
        <v>354</v>
      </c>
    </row>
    <row r="60" spans="3:4">
      <c r="C60" t="s">
        <v>354</v>
      </c>
      <c r="D60" t="s">
        <v>354</v>
      </c>
    </row>
    <row r="61" spans="3:4">
      <c r="C61" t="s">
        <v>354</v>
      </c>
      <c r="D61" t="s">
        <v>354</v>
      </c>
    </row>
    <row r="62" spans="3:4">
      <c r="C62" t="s">
        <v>354</v>
      </c>
      <c r="D62" t="s">
        <v>354</v>
      </c>
    </row>
    <row r="63" spans="3:4">
      <c r="C63" t="s">
        <v>354</v>
      </c>
      <c r="D63" t="s">
        <v>354</v>
      </c>
    </row>
    <row r="64" spans="3:4">
      <c r="C64" t="s">
        <v>354</v>
      </c>
      <c r="D64" t="s">
        <v>354</v>
      </c>
    </row>
    <row r="65" spans="3:4">
      <c r="C65" t="s">
        <v>354</v>
      </c>
      <c r="D65" t="s">
        <v>354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D9" sqref="D9"/>
    </sheetView>
  </sheetViews>
  <sheetFormatPr defaultColWidth="11.7109375" defaultRowHeight="15"/>
  <cols>
    <col min="1" max="1" width="56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2.5" customHeight="1">
      <c r="A5" s="115" t="s">
        <v>83</v>
      </c>
      <c r="B5" s="117" t="s">
        <v>84</v>
      </c>
      <c r="C5" s="119" t="s">
        <v>231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1836861.03</v>
      </c>
      <c r="D8" s="11">
        <f>D9+D11+D14+D15</f>
        <v>1760381.49</v>
      </c>
    </row>
    <row r="9" spans="1:4" ht="30">
      <c r="A9" s="12" t="s">
        <v>90</v>
      </c>
      <c r="B9" s="13" t="s">
        <v>91</v>
      </c>
      <c r="C9" s="14">
        <f>1608494.04</f>
        <v>1608494.04</v>
      </c>
      <c r="D9" s="15">
        <f>1548082.79</f>
        <v>1548082.79</v>
      </c>
    </row>
    <row r="10" spans="1:4">
      <c r="A10" s="16" t="s">
        <v>92</v>
      </c>
      <c r="B10" s="17" t="s">
        <v>93</v>
      </c>
      <c r="C10" s="18">
        <f>1027391.15207373</f>
        <v>1027391.15207373</v>
      </c>
      <c r="D10" s="19">
        <f>_23h_E12</f>
        <v>1027391.15207373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228366.99</v>
      </c>
      <c r="D15" s="15">
        <f>SUM(D16:D24)</f>
        <v>212298.7</v>
      </c>
    </row>
    <row r="16" spans="1:4">
      <c r="A16" s="22" t="s">
        <v>103</v>
      </c>
      <c r="B16" s="17" t="s">
        <v>104</v>
      </c>
      <c r="C16" s="111">
        <v>152900.4</v>
      </c>
      <c r="D16" s="113">
        <v>127560.42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36563.64</f>
        <v>36563.64</v>
      </c>
      <c r="D18" s="19">
        <f>45835.31</f>
        <v>45835.31</v>
      </c>
    </row>
    <row r="19" spans="1:4">
      <c r="A19" s="22" t="s">
        <v>109</v>
      </c>
      <c r="B19" s="17" t="s">
        <v>110</v>
      </c>
      <c r="C19" s="18">
        <f>4433.2</f>
        <v>4433.2</v>
      </c>
      <c r="D19" s="19">
        <f>4436.16</f>
        <v>4436.16</v>
      </c>
    </row>
    <row r="20" spans="1:4">
      <c r="A20" s="22" t="s">
        <v>111</v>
      </c>
      <c r="B20" s="17" t="s">
        <v>112</v>
      </c>
      <c r="C20" s="18">
        <f>6703.42</f>
        <v>6703.42</v>
      </c>
      <c r="D20" s="19">
        <f>6700.48</f>
        <v>6700.48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27766.33</f>
        <v>27766.33</v>
      </c>
      <c r="D22" s="19">
        <f>27766.33</f>
        <v>27766.33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739833.57000000007</v>
      </c>
      <c r="D25" s="15">
        <f>D26+D27+D30+D28+D29+D31</f>
        <v>756676.77</v>
      </c>
    </row>
    <row r="26" spans="1:4" ht="18.75" customHeight="1">
      <c r="A26" s="24" t="s">
        <v>123</v>
      </c>
      <c r="B26" s="20" t="s">
        <v>124</v>
      </c>
      <c r="C26" s="18">
        <f>201355.08</f>
        <v>201355.08</v>
      </c>
      <c r="D26" s="19">
        <f>199956.77</f>
        <v>199956.77</v>
      </c>
    </row>
    <row r="27" spans="1:4" ht="45">
      <c r="A27" s="24" t="s">
        <v>125</v>
      </c>
      <c r="B27" s="20" t="s">
        <v>126</v>
      </c>
      <c r="C27" s="18">
        <f>30685.68</f>
        <v>30685.68</v>
      </c>
      <c r="D27" s="19">
        <f>30556.04</f>
        <v>30556.04</v>
      </c>
    </row>
    <row r="28" spans="1:4" ht="30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30355.56</f>
        <v>30355.56</v>
      </c>
      <c r="D29" s="19">
        <f>30090.13</f>
        <v>30090.13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477437.25</v>
      </c>
      <c r="D31" s="15">
        <f>SUM(D32:D39)</f>
        <v>496073.83</v>
      </c>
    </row>
    <row r="32" spans="1:4" ht="18.7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41643.84</f>
        <v>41643.839999999997</v>
      </c>
      <c r="D33" s="19">
        <f>28641.68</f>
        <v>28641.68</v>
      </c>
    </row>
    <row r="34" spans="1:4">
      <c r="A34" s="24" t="s">
        <v>139</v>
      </c>
      <c r="B34" s="17" t="s">
        <v>140</v>
      </c>
      <c r="C34" s="18">
        <f>66912.12</f>
        <v>66912.12</v>
      </c>
      <c r="D34" s="19">
        <f>68138.27</f>
        <v>68138.27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322934.17</f>
        <v>322934.17</v>
      </c>
      <c r="D39" s="19">
        <f>353346.76</f>
        <v>353346.76</v>
      </c>
    </row>
    <row r="40" spans="1:4" ht="24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18251.280000000002</v>
      </c>
      <c r="D45" s="27">
        <f>SUM(D46:D48)</f>
        <v>20148.710000000003</v>
      </c>
    </row>
    <row r="46" spans="1:4">
      <c r="A46" s="21" t="s">
        <v>163</v>
      </c>
      <c r="B46" s="17" t="s">
        <v>164</v>
      </c>
      <c r="C46" s="18">
        <f>17591.04</f>
        <v>17591.04</v>
      </c>
      <c r="D46" s="19">
        <f>19488.47</f>
        <v>19488.47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660.24</f>
        <v>660.24</v>
      </c>
      <c r="D48" s="19">
        <f>660.24</f>
        <v>660.24</v>
      </c>
    </row>
    <row r="49" spans="1:4">
      <c r="A49" s="8" t="s">
        <v>440</v>
      </c>
      <c r="B49" s="28" t="s">
        <v>168</v>
      </c>
      <c r="C49" s="29">
        <f>205197.72</f>
        <v>205197.72</v>
      </c>
      <c r="D49" s="30">
        <f>262936.63</f>
        <v>262936.63</v>
      </c>
    </row>
    <row r="50" spans="1:4">
      <c r="A50" s="8" t="s">
        <v>169</v>
      </c>
      <c r="B50" s="9" t="s">
        <v>170</v>
      </c>
      <c r="C50" s="14">
        <f>C8+C25+C40+C41+C42+C43+C44+C45+C49+C51+C52</f>
        <v>2800143.6</v>
      </c>
      <c r="D50" s="15">
        <f>D8+D25+D40+D41+D42+D43+D44+D45+D49+D51+D52</f>
        <v>2800143.5999999996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1561598.46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1520297.82</f>
        <v>1520297.82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41300.64</f>
        <v>41300.639999999999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829638</f>
        <v>829638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2391236.46</v>
      </c>
      <c r="D59" s="27">
        <f>D54+D57+D58</f>
        <v>0</v>
      </c>
    </row>
    <row r="60" spans="1:4" ht="25.5">
      <c r="A60" s="33" t="s">
        <v>188</v>
      </c>
      <c r="B60" s="9"/>
      <c r="C60" s="34">
        <v>10394</v>
      </c>
      <c r="D60" s="35">
        <v>10394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352</v>
      </c>
      <c r="D7" t="s">
        <v>352</v>
      </c>
    </row>
    <row r="8" spans="3:4">
      <c r="C8" t="s">
        <v>352</v>
      </c>
      <c r="D8" t="s">
        <v>352</v>
      </c>
    </row>
    <row r="9" spans="3:4">
      <c r="C9" t="s">
        <v>352</v>
      </c>
      <c r="D9" t="s">
        <v>352</v>
      </c>
    </row>
    <row r="10" spans="3:4">
      <c r="C10" t="s">
        <v>352</v>
      </c>
      <c r="D10" t="s">
        <v>352</v>
      </c>
    </row>
    <row r="11" spans="3:4">
      <c r="C11" t="s">
        <v>352</v>
      </c>
      <c r="D11" t="s">
        <v>352</v>
      </c>
    </row>
    <row r="12" spans="3:4">
      <c r="C12" t="s">
        <v>352</v>
      </c>
      <c r="D12" t="s">
        <v>352</v>
      </c>
    </row>
    <row r="13" spans="3:4">
      <c r="C13" t="s">
        <v>352</v>
      </c>
      <c r="D13" t="s">
        <v>352</v>
      </c>
    </row>
    <row r="14" spans="3:4">
      <c r="C14" t="s">
        <v>352</v>
      </c>
      <c r="D14" t="s">
        <v>352</v>
      </c>
    </row>
    <row r="15" spans="3:4">
      <c r="C15" t="s">
        <v>352</v>
      </c>
      <c r="D15" t="s">
        <v>352</v>
      </c>
    </row>
    <row r="16" spans="3:4">
      <c r="C16" t="s">
        <v>352</v>
      </c>
      <c r="D16" t="s">
        <v>352</v>
      </c>
    </row>
    <row r="17" spans="3:4">
      <c r="C17" t="s">
        <v>352</v>
      </c>
      <c r="D17" t="s">
        <v>352</v>
      </c>
    </row>
    <row r="18" spans="3:4">
      <c r="C18" t="s">
        <v>352</v>
      </c>
      <c r="D18" t="s">
        <v>352</v>
      </c>
    </row>
    <row r="19" spans="3:4">
      <c r="C19" t="s">
        <v>352</v>
      </c>
      <c r="D19" t="s">
        <v>352</v>
      </c>
    </row>
    <row r="20" spans="3:4">
      <c r="C20" t="s">
        <v>352</v>
      </c>
      <c r="D20" t="s">
        <v>352</v>
      </c>
    </row>
    <row r="21" spans="3:4">
      <c r="C21" t="s">
        <v>352</v>
      </c>
      <c r="D21" t="s">
        <v>352</v>
      </c>
    </row>
    <row r="22" spans="3:4">
      <c r="C22" t="s">
        <v>352</v>
      </c>
      <c r="D22" t="s">
        <v>352</v>
      </c>
    </row>
    <row r="23" spans="3:4">
      <c r="C23" t="s">
        <v>352</v>
      </c>
      <c r="D23" t="s">
        <v>352</v>
      </c>
    </row>
    <row r="24" spans="3:4">
      <c r="C24" t="s">
        <v>352</v>
      </c>
      <c r="D24" t="s">
        <v>352</v>
      </c>
    </row>
    <row r="25" spans="3:4">
      <c r="C25" t="s">
        <v>352</v>
      </c>
      <c r="D25" t="s">
        <v>352</v>
      </c>
    </row>
    <row r="26" spans="3:4">
      <c r="C26" t="s">
        <v>352</v>
      </c>
      <c r="D26" t="s">
        <v>352</v>
      </c>
    </row>
    <row r="27" spans="3:4">
      <c r="C27" t="s">
        <v>352</v>
      </c>
      <c r="D27" t="s">
        <v>352</v>
      </c>
    </row>
    <row r="28" spans="3:4">
      <c r="C28" t="s">
        <v>352</v>
      </c>
      <c r="D28" t="s">
        <v>352</v>
      </c>
    </row>
    <row r="29" spans="3:4">
      <c r="C29" t="s">
        <v>352</v>
      </c>
      <c r="D29" t="s">
        <v>352</v>
      </c>
    </row>
    <row r="30" spans="3:4">
      <c r="C30" t="s">
        <v>352</v>
      </c>
      <c r="D30" t="s">
        <v>352</v>
      </c>
    </row>
    <row r="31" spans="3:4">
      <c r="C31" t="s">
        <v>352</v>
      </c>
      <c r="D31" t="s">
        <v>352</v>
      </c>
    </row>
    <row r="32" spans="3:4">
      <c r="C32" t="s">
        <v>352</v>
      </c>
      <c r="D32" t="s">
        <v>352</v>
      </c>
    </row>
    <row r="33" spans="3:4">
      <c r="C33" t="s">
        <v>352</v>
      </c>
      <c r="D33" t="s">
        <v>352</v>
      </c>
    </row>
    <row r="34" spans="3:4">
      <c r="C34" t="s">
        <v>352</v>
      </c>
      <c r="D34" t="s">
        <v>352</v>
      </c>
    </row>
    <row r="35" spans="3:4">
      <c r="C35" t="s">
        <v>352</v>
      </c>
      <c r="D35" t="s">
        <v>352</v>
      </c>
    </row>
    <row r="36" spans="3:4">
      <c r="C36" t="s">
        <v>352</v>
      </c>
      <c r="D36" t="s">
        <v>352</v>
      </c>
    </row>
    <row r="37" spans="3:4">
      <c r="C37" t="s">
        <v>352</v>
      </c>
      <c r="D37" t="s">
        <v>352</v>
      </c>
    </row>
    <row r="38" spans="3:4">
      <c r="C38" t="s">
        <v>352</v>
      </c>
      <c r="D38" t="s">
        <v>352</v>
      </c>
    </row>
    <row r="39" spans="3:4">
      <c r="C39" t="s">
        <v>352</v>
      </c>
      <c r="D39" t="s">
        <v>352</v>
      </c>
    </row>
    <row r="40" spans="3:4">
      <c r="C40" t="s">
        <v>352</v>
      </c>
      <c r="D40" t="s">
        <v>352</v>
      </c>
    </row>
    <row r="41" spans="3:4">
      <c r="C41" t="s">
        <v>352</v>
      </c>
      <c r="D41" t="s">
        <v>352</v>
      </c>
    </row>
    <row r="42" spans="3:4">
      <c r="C42" t="s">
        <v>352</v>
      </c>
      <c r="D42" t="s">
        <v>352</v>
      </c>
    </row>
    <row r="43" spans="3:4">
      <c r="C43" t="s">
        <v>352</v>
      </c>
      <c r="D43" t="s">
        <v>352</v>
      </c>
    </row>
    <row r="44" spans="3:4">
      <c r="C44" t="s">
        <v>352</v>
      </c>
      <c r="D44" t="s">
        <v>352</v>
      </c>
    </row>
    <row r="45" spans="3:4">
      <c r="C45" t="s">
        <v>352</v>
      </c>
      <c r="D45" t="s">
        <v>352</v>
      </c>
    </row>
    <row r="46" spans="3:4">
      <c r="C46" t="s">
        <v>352</v>
      </c>
      <c r="D46" t="s">
        <v>352</v>
      </c>
    </row>
    <row r="47" spans="3:4">
      <c r="C47" t="s">
        <v>352</v>
      </c>
      <c r="D47" t="s">
        <v>352</v>
      </c>
    </row>
    <row r="48" spans="3:4">
      <c r="C48" t="s">
        <v>352</v>
      </c>
      <c r="D48" t="s">
        <v>352</v>
      </c>
    </row>
    <row r="49" spans="3:4">
      <c r="C49" t="s">
        <v>352</v>
      </c>
      <c r="D49" t="s">
        <v>352</v>
      </c>
    </row>
    <row r="50" spans="3:4">
      <c r="C50" t="s">
        <v>352</v>
      </c>
      <c r="D50" t="s">
        <v>352</v>
      </c>
    </row>
    <row r="51" spans="3:4">
      <c r="C51" t="s">
        <v>352</v>
      </c>
      <c r="D51" t="s">
        <v>352</v>
      </c>
    </row>
    <row r="52" spans="3:4">
      <c r="C52" t="s">
        <v>352</v>
      </c>
      <c r="D52" t="s">
        <v>352</v>
      </c>
    </row>
    <row r="53" spans="3:4">
      <c r="C53" t="s">
        <v>352</v>
      </c>
      <c r="D53" t="s">
        <v>352</v>
      </c>
    </row>
    <row r="54" spans="3:4">
      <c r="C54" t="s">
        <v>352</v>
      </c>
      <c r="D54" t="s">
        <v>352</v>
      </c>
    </row>
    <row r="55" spans="3:4">
      <c r="C55" t="s">
        <v>352</v>
      </c>
      <c r="D55" t="s">
        <v>352</v>
      </c>
    </row>
    <row r="56" spans="3:4">
      <c r="C56" t="s">
        <v>352</v>
      </c>
      <c r="D56" t="s">
        <v>352</v>
      </c>
    </row>
    <row r="57" spans="3:4">
      <c r="C57" t="s">
        <v>352</v>
      </c>
      <c r="D57" t="s">
        <v>352</v>
      </c>
    </row>
    <row r="58" spans="3:4">
      <c r="C58" t="s">
        <v>352</v>
      </c>
      <c r="D58" t="s">
        <v>352</v>
      </c>
    </row>
    <row r="59" spans="3:4">
      <c r="C59" t="s">
        <v>352</v>
      </c>
      <c r="D59" t="s">
        <v>352</v>
      </c>
    </row>
    <row r="60" spans="3:4">
      <c r="C60" t="s">
        <v>352</v>
      </c>
      <c r="D60" t="s">
        <v>352</v>
      </c>
    </row>
    <row r="61" spans="3:4">
      <c r="C61" t="s">
        <v>352</v>
      </c>
      <c r="D61" t="s">
        <v>352</v>
      </c>
    </row>
    <row r="62" spans="3:4">
      <c r="C62" t="s">
        <v>352</v>
      </c>
      <c r="D62" t="s">
        <v>352</v>
      </c>
    </row>
    <row r="63" spans="3:4">
      <c r="C63" t="s">
        <v>352</v>
      </c>
      <c r="D63" t="s">
        <v>352</v>
      </c>
    </row>
    <row r="64" spans="3:4">
      <c r="C64" t="s">
        <v>352</v>
      </c>
      <c r="D64" t="s">
        <v>352</v>
      </c>
    </row>
    <row r="65" spans="3:4">
      <c r="C65" t="s">
        <v>352</v>
      </c>
      <c r="D65" t="s">
        <v>352</v>
      </c>
    </row>
  </sheetData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350</v>
      </c>
      <c r="D7" t="s">
        <v>350</v>
      </c>
    </row>
    <row r="8" spans="3:4">
      <c r="C8" t="s">
        <v>350</v>
      </c>
      <c r="D8" t="s">
        <v>350</v>
      </c>
    </row>
    <row r="9" spans="3:4">
      <c r="C9" t="s">
        <v>350</v>
      </c>
      <c r="D9" t="s">
        <v>350</v>
      </c>
    </row>
    <row r="10" spans="3:4">
      <c r="C10" t="s">
        <v>350</v>
      </c>
      <c r="D10" t="s">
        <v>350</v>
      </c>
    </row>
    <row r="11" spans="3:4">
      <c r="C11" t="s">
        <v>350</v>
      </c>
      <c r="D11" t="s">
        <v>350</v>
      </c>
    </row>
    <row r="12" spans="3:4">
      <c r="C12" t="s">
        <v>350</v>
      </c>
      <c r="D12" t="s">
        <v>350</v>
      </c>
    </row>
    <row r="13" spans="3:4">
      <c r="C13" t="s">
        <v>350</v>
      </c>
      <c r="D13" t="s">
        <v>350</v>
      </c>
    </row>
    <row r="14" spans="3:4">
      <c r="C14" t="s">
        <v>350</v>
      </c>
      <c r="D14" t="s">
        <v>350</v>
      </c>
    </row>
    <row r="15" spans="3:4">
      <c r="C15" t="s">
        <v>350</v>
      </c>
      <c r="D15" t="s">
        <v>350</v>
      </c>
    </row>
    <row r="16" spans="3:4">
      <c r="C16" t="s">
        <v>350</v>
      </c>
      <c r="D16" t="s">
        <v>350</v>
      </c>
    </row>
    <row r="17" spans="3:4">
      <c r="C17" t="s">
        <v>350</v>
      </c>
      <c r="D17" t="s">
        <v>350</v>
      </c>
    </row>
    <row r="18" spans="3:4">
      <c r="C18" t="s">
        <v>350</v>
      </c>
      <c r="D18" t="s">
        <v>350</v>
      </c>
    </row>
    <row r="19" spans="3:4">
      <c r="C19" t="s">
        <v>350</v>
      </c>
      <c r="D19" t="s">
        <v>350</v>
      </c>
    </row>
    <row r="20" spans="3:4">
      <c r="C20" t="s">
        <v>350</v>
      </c>
      <c r="D20" t="s">
        <v>350</v>
      </c>
    </row>
    <row r="21" spans="3:4">
      <c r="C21" t="s">
        <v>350</v>
      </c>
      <c r="D21" t="s">
        <v>350</v>
      </c>
    </row>
    <row r="22" spans="3:4">
      <c r="C22" t="s">
        <v>350</v>
      </c>
      <c r="D22" t="s">
        <v>350</v>
      </c>
    </row>
    <row r="23" spans="3:4">
      <c r="C23" t="s">
        <v>350</v>
      </c>
      <c r="D23" t="s">
        <v>350</v>
      </c>
    </row>
    <row r="24" spans="3:4">
      <c r="C24" t="s">
        <v>350</v>
      </c>
      <c r="D24" t="s">
        <v>350</v>
      </c>
    </row>
    <row r="25" spans="3:4">
      <c r="C25" t="s">
        <v>350</v>
      </c>
      <c r="D25" t="s">
        <v>350</v>
      </c>
    </row>
    <row r="26" spans="3:4">
      <c r="C26" t="s">
        <v>350</v>
      </c>
      <c r="D26" t="s">
        <v>350</v>
      </c>
    </row>
    <row r="27" spans="3:4">
      <c r="C27" t="s">
        <v>350</v>
      </c>
      <c r="D27" t="s">
        <v>350</v>
      </c>
    </row>
    <row r="28" spans="3:4">
      <c r="C28" t="s">
        <v>350</v>
      </c>
      <c r="D28" t="s">
        <v>350</v>
      </c>
    </row>
    <row r="29" spans="3:4">
      <c r="C29" t="s">
        <v>350</v>
      </c>
      <c r="D29" t="s">
        <v>350</v>
      </c>
    </row>
    <row r="30" spans="3:4">
      <c r="C30" t="s">
        <v>350</v>
      </c>
      <c r="D30" t="s">
        <v>350</v>
      </c>
    </row>
    <row r="31" spans="3:4">
      <c r="C31" t="s">
        <v>350</v>
      </c>
      <c r="D31" t="s">
        <v>350</v>
      </c>
    </row>
    <row r="32" spans="3:4">
      <c r="C32" t="s">
        <v>350</v>
      </c>
      <c r="D32" t="s">
        <v>350</v>
      </c>
    </row>
    <row r="33" spans="3:4">
      <c r="C33" t="s">
        <v>350</v>
      </c>
      <c r="D33" t="s">
        <v>350</v>
      </c>
    </row>
    <row r="34" spans="3:4">
      <c r="C34" t="s">
        <v>350</v>
      </c>
      <c r="D34" t="s">
        <v>350</v>
      </c>
    </row>
    <row r="35" spans="3:4">
      <c r="C35" t="s">
        <v>350</v>
      </c>
      <c r="D35" t="s">
        <v>350</v>
      </c>
    </row>
    <row r="36" spans="3:4">
      <c r="C36" t="s">
        <v>350</v>
      </c>
      <c r="D36" t="s">
        <v>350</v>
      </c>
    </row>
    <row r="37" spans="3:4">
      <c r="C37" t="s">
        <v>350</v>
      </c>
      <c r="D37" t="s">
        <v>350</v>
      </c>
    </row>
    <row r="38" spans="3:4">
      <c r="C38" t="s">
        <v>350</v>
      </c>
      <c r="D38" t="s">
        <v>350</v>
      </c>
    </row>
    <row r="39" spans="3:4">
      <c r="C39" t="s">
        <v>350</v>
      </c>
      <c r="D39" t="s">
        <v>350</v>
      </c>
    </row>
    <row r="40" spans="3:4">
      <c r="C40" t="s">
        <v>350</v>
      </c>
      <c r="D40" t="s">
        <v>350</v>
      </c>
    </row>
    <row r="41" spans="3:4">
      <c r="C41" t="s">
        <v>350</v>
      </c>
      <c r="D41" t="s">
        <v>350</v>
      </c>
    </row>
    <row r="42" spans="3:4">
      <c r="C42" t="s">
        <v>350</v>
      </c>
      <c r="D42" t="s">
        <v>350</v>
      </c>
    </row>
    <row r="43" spans="3:4">
      <c r="C43" t="s">
        <v>350</v>
      </c>
      <c r="D43" t="s">
        <v>350</v>
      </c>
    </row>
    <row r="44" spans="3:4">
      <c r="C44" t="s">
        <v>350</v>
      </c>
      <c r="D44" t="s">
        <v>350</v>
      </c>
    </row>
    <row r="45" spans="3:4">
      <c r="C45" t="s">
        <v>350</v>
      </c>
      <c r="D45" t="s">
        <v>350</v>
      </c>
    </row>
    <row r="46" spans="3:4">
      <c r="C46" t="s">
        <v>350</v>
      </c>
      <c r="D46" t="s">
        <v>350</v>
      </c>
    </row>
    <row r="47" spans="3:4">
      <c r="C47" t="s">
        <v>350</v>
      </c>
      <c r="D47" t="s">
        <v>350</v>
      </c>
    </row>
    <row r="48" spans="3:4">
      <c r="C48" t="s">
        <v>350</v>
      </c>
      <c r="D48" t="s">
        <v>350</v>
      </c>
    </row>
    <row r="49" spans="3:4">
      <c r="C49" t="s">
        <v>350</v>
      </c>
      <c r="D49" t="s">
        <v>350</v>
      </c>
    </row>
    <row r="50" spans="3:4">
      <c r="C50" t="s">
        <v>350</v>
      </c>
      <c r="D50" t="s">
        <v>350</v>
      </c>
    </row>
    <row r="51" spans="3:4">
      <c r="C51" t="s">
        <v>350</v>
      </c>
      <c r="D51" t="s">
        <v>350</v>
      </c>
    </row>
    <row r="52" spans="3:4">
      <c r="C52" t="s">
        <v>350</v>
      </c>
      <c r="D52" t="s">
        <v>350</v>
      </c>
    </row>
    <row r="53" spans="3:4">
      <c r="C53" t="s">
        <v>350</v>
      </c>
      <c r="D53" t="s">
        <v>350</v>
      </c>
    </row>
    <row r="54" spans="3:4">
      <c r="C54" t="s">
        <v>350</v>
      </c>
      <c r="D54" t="s">
        <v>350</v>
      </c>
    </row>
    <row r="55" spans="3:4">
      <c r="C55" t="s">
        <v>350</v>
      </c>
      <c r="D55" t="s">
        <v>350</v>
      </c>
    </row>
    <row r="56" spans="3:4">
      <c r="C56" t="s">
        <v>350</v>
      </c>
      <c r="D56" t="s">
        <v>350</v>
      </c>
    </row>
    <row r="57" spans="3:4">
      <c r="C57" t="s">
        <v>350</v>
      </c>
      <c r="D57" t="s">
        <v>350</v>
      </c>
    </row>
    <row r="58" spans="3:4">
      <c r="C58" t="s">
        <v>350</v>
      </c>
      <c r="D58" t="s">
        <v>350</v>
      </c>
    </row>
    <row r="59" spans="3:4">
      <c r="C59" t="s">
        <v>350</v>
      </c>
      <c r="D59" t="s">
        <v>350</v>
      </c>
    </row>
    <row r="60" spans="3:4">
      <c r="C60" t="s">
        <v>350</v>
      </c>
      <c r="D60" t="s">
        <v>350</v>
      </c>
    </row>
    <row r="61" spans="3:4">
      <c r="C61" t="s">
        <v>350</v>
      </c>
      <c r="D61" t="s">
        <v>350</v>
      </c>
    </row>
    <row r="62" spans="3:4">
      <c r="C62" t="s">
        <v>350</v>
      </c>
      <c r="D62" t="s">
        <v>350</v>
      </c>
    </row>
    <row r="63" spans="3:4">
      <c r="C63" t="s">
        <v>350</v>
      </c>
      <c r="D63" t="s">
        <v>350</v>
      </c>
    </row>
    <row r="64" spans="3:4">
      <c r="C64" t="s">
        <v>350</v>
      </c>
      <c r="D64" t="s">
        <v>350</v>
      </c>
    </row>
    <row r="65" spans="3:4">
      <c r="C65" t="s">
        <v>350</v>
      </c>
      <c r="D65" t="s">
        <v>350</v>
      </c>
    </row>
  </sheetData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348</v>
      </c>
      <c r="D7" t="s">
        <v>348</v>
      </c>
    </row>
    <row r="8" spans="3:4">
      <c r="C8" t="s">
        <v>348</v>
      </c>
      <c r="D8" t="s">
        <v>348</v>
      </c>
    </row>
    <row r="9" spans="3:4">
      <c r="C9" t="s">
        <v>348</v>
      </c>
      <c r="D9" t="s">
        <v>348</v>
      </c>
    </row>
    <row r="10" spans="3:4">
      <c r="C10" t="s">
        <v>348</v>
      </c>
      <c r="D10" t="s">
        <v>348</v>
      </c>
    </row>
    <row r="11" spans="3:4">
      <c r="C11" t="s">
        <v>348</v>
      </c>
      <c r="D11" t="s">
        <v>348</v>
      </c>
    </row>
    <row r="12" spans="3:4">
      <c r="C12" t="s">
        <v>348</v>
      </c>
      <c r="D12" t="s">
        <v>348</v>
      </c>
    </row>
    <row r="13" spans="3:4">
      <c r="C13" t="s">
        <v>348</v>
      </c>
      <c r="D13" t="s">
        <v>348</v>
      </c>
    </row>
    <row r="14" spans="3:4">
      <c r="C14" t="s">
        <v>348</v>
      </c>
      <c r="D14" t="s">
        <v>348</v>
      </c>
    </row>
    <row r="15" spans="3:4">
      <c r="C15" t="s">
        <v>348</v>
      </c>
      <c r="D15" t="s">
        <v>348</v>
      </c>
    </row>
    <row r="16" spans="3:4">
      <c r="C16" t="s">
        <v>348</v>
      </c>
      <c r="D16" t="s">
        <v>348</v>
      </c>
    </row>
    <row r="17" spans="3:4">
      <c r="C17" t="s">
        <v>348</v>
      </c>
      <c r="D17" t="s">
        <v>348</v>
      </c>
    </row>
    <row r="18" spans="3:4">
      <c r="C18" t="s">
        <v>348</v>
      </c>
      <c r="D18" t="s">
        <v>348</v>
      </c>
    </row>
    <row r="19" spans="3:4">
      <c r="C19" t="s">
        <v>348</v>
      </c>
      <c r="D19" t="s">
        <v>348</v>
      </c>
    </row>
    <row r="20" spans="3:4">
      <c r="C20" t="s">
        <v>348</v>
      </c>
      <c r="D20" t="s">
        <v>348</v>
      </c>
    </row>
    <row r="21" spans="3:4">
      <c r="C21" t="s">
        <v>348</v>
      </c>
      <c r="D21" t="s">
        <v>348</v>
      </c>
    </row>
    <row r="22" spans="3:4">
      <c r="C22" t="s">
        <v>348</v>
      </c>
      <c r="D22" t="s">
        <v>348</v>
      </c>
    </row>
    <row r="23" spans="3:4">
      <c r="C23" t="s">
        <v>348</v>
      </c>
      <c r="D23" t="s">
        <v>348</v>
      </c>
    </row>
    <row r="24" spans="3:4">
      <c r="C24" t="s">
        <v>348</v>
      </c>
      <c r="D24" t="s">
        <v>348</v>
      </c>
    </row>
    <row r="25" spans="3:4">
      <c r="C25" t="s">
        <v>348</v>
      </c>
      <c r="D25" t="s">
        <v>348</v>
      </c>
    </row>
    <row r="26" spans="3:4">
      <c r="C26" t="s">
        <v>348</v>
      </c>
      <c r="D26" t="s">
        <v>348</v>
      </c>
    </row>
    <row r="27" spans="3:4">
      <c r="C27" t="s">
        <v>348</v>
      </c>
      <c r="D27" t="s">
        <v>348</v>
      </c>
    </row>
    <row r="28" spans="3:4">
      <c r="C28" t="s">
        <v>348</v>
      </c>
      <c r="D28" t="s">
        <v>348</v>
      </c>
    </row>
    <row r="29" spans="3:4">
      <c r="C29" t="s">
        <v>348</v>
      </c>
      <c r="D29" t="s">
        <v>348</v>
      </c>
    </row>
    <row r="30" spans="3:4">
      <c r="C30" t="s">
        <v>348</v>
      </c>
      <c r="D30" t="s">
        <v>348</v>
      </c>
    </row>
    <row r="31" spans="3:4">
      <c r="C31" t="s">
        <v>348</v>
      </c>
      <c r="D31" t="s">
        <v>348</v>
      </c>
    </row>
    <row r="32" spans="3:4">
      <c r="C32" t="s">
        <v>348</v>
      </c>
      <c r="D32" t="s">
        <v>348</v>
      </c>
    </row>
    <row r="33" spans="3:4">
      <c r="C33" t="s">
        <v>348</v>
      </c>
      <c r="D33" t="s">
        <v>348</v>
      </c>
    </row>
    <row r="34" spans="3:4">
      <c r="C34" t="s">
        <v>348</v>
      </c>
      <c r="D34" t="s">
        <v>348</v>
      </c>
    </row>
    <row r="35" spans="3:4">
      <c r="C35" t="s">
        <v>348</v>
      </c>
      <c r="D35" t="s">
        <v>348</v>
      </c>
    </row>
    <row r="36" spans="3:4">
      <c r="C36" t="s">
        <v>348</v>
      </c>
      <c r="D36" t="s">
        <v>348</v>
      </c>
    </row>
    <row r="37" spans="3:4">
      <c r="C37" t="s">
        <v>348</v>
      </c>
      <c r="D37" t="s">
        <v>348</v>
      </c>
    </row>
    <row r="38" spans="3:4">
      <c r="C38" t="s">
        <v>348</v>
      </c>
      <c r="D38" t="s">
        <v>348</v>
      </c>
    </row>
    <row r="39" spans="3:4">
      <c r="C39" t="s">
        <v>348</v>
      </c>
      <c r="D39" t="s">
        <v>348</v>
      </c>
    </row>
    <row r="40" spans="3:4">
      <c r="C40" t="s">
        <v>348</v>
      </c>
      <c r="D40" t="s">
        <v>348</v>
      </c>
    </row>
    <row r="41" spans="3:4">
      <c r="C41" t="s">
        <v>348</v>
      </c>
      <c r="D41" t="s">
        <v>348</v>
      </c>
    </row>
    <row r="42" spans="3:4">
      <c r="C42" t="s">
        <v>348</v>
      </c>
      <c r="D42" t="s">
        <v>348</v>
      </c>
    </row>
    <row r="43" spans="3:4">
      <c r="C43" t="s">
        <v>348</v>
      </c>
      <c r="D43" t="s">
        <v>348</v>
      </c>
    </row>
    <row r="44" spans="3:4">
      <c r="C44" t="s">
        <v>348</v>
      </c>
      <c r="D44" t="s">
        <v>348</v>
      </c>
    </row>
    <row r="45" spans="3:4">
      <c r="C45" t="s">
        <v>348</v>
      </c>
      <c r="D45" t="s">
        <v>348</v>
      </c>
    </row>
    <row r="46" spans="3:4">
      <c r="C46" t="s">
        <v>348</v>
      </c>
      <c r="D46" t="s">
        <v>348</v>
      </c>
    </row>
    <row r="47" spans="3:4">
      <c r="C47" t="s">
        <v>348</v>
      </c>
      <c r="D47" t="s">
        <v>348</v>
      </c>
    </row>
    <row r="48" spans="3:4">
      <c r="C48" t="s">
        <v>348</v>
      </c>
      <c r="D48" t="s">
        <v>348</v>
      </c>
    </row>
    <row r="49" spans="3:4">
      <c r="C49" t="s">
        <v>348</v>
      </c>
      <c r="D49" t="s">
        <v>348</v>
      </c>
    </row>
    <row r="50" spans="3:4">
      <c r="C50" t="s">
        <v>348</v>
      </c>
      <c r="D50" t="s">
        <v>348</v>
      </c>
    </row>
    <row r="51" spans="3:4">
      <c r="C51" t="s">
        <v>348</v>
      </c>
      <c r="D51" t="s">
        <v>348</v>
      </c>
    </row>
    <row r="52" spans="3:4">
      <c r="C52" t="s">
        <v>348</v>
      </c>
      <c r="D52" t="s">
        <v>348</v>
      </c>
    </row>
    <row r="53" spans="3:4">
      <c r="C53" t="s">
        <v>348</v>
      </c>
      <c r="D53" t="s">
        <v>348</v>
      </c>
    </row>
    <row r="54" spans="3:4">
      <c r="C54" t="s">
        <v>348</v>
      </c>
      <c r="D54" t="s">
        <v>348</v>
      </c>
    </row>
    <row r="55" spans="3:4">
      <c r="C55" t="s">
        <v>348</v>
      </c>
      <c r="D55" t="s">
        <v>348</v>
      </c>
    </row>
    <row r="56" spans="3:4">
      <c r="C56" t="s">
        <v>348</v>
      </c>
      <c r="D56" t="s">
        <v>348</v>
      </c>
    </row>
    <row r="57" spans="3:4">
      <c r="C57" t="s">
        <v>348</v>
      </c>
      <c r="D57" t="s">
        <v>348</v>
      </c>
    </row>
    <row r="58" spans="3:4">
      <c r="C58" t="s">
        <v>348</v>
      </c>
      <c r="D58" t="s">
        <v>348</v>
      </c>
    </row>
    <row r="59" spans="3:4">
      <c r="C59" t="s">
        <v>348</v>
      </c>
      <c r="D59" t="s">
        <v>348</v>
      </c>
    </row>
    <row r="60" spans="3:4">
      <c r="C60" t="s">
        <v>348</v>
      </c>
      <c r="D60" t="s">
        <v>348</v>
      </c>
    </row>
    <row r="61" spans="3:4">
      <c r="C61" t="s">
        <v>348</v>
      </c>
      <c r="D61" t="s">
        <v>348</v>
      </c>
    </row>
    <row r="62" spans="3:4">
      <c r="C62" t="s">
        <v>348</v>
      </c>
      <c r="D62" t="s">
        <v>348</v>
      </c>
    </row>
    <row r="63" spans="3:4">
      <c r="C63" t="s">
        <v>348</v>
      </c>
      <c r="D63" t="s">
        <v>348</v>
      </c>
    </row>
    <row r="64" spans="3:4">
      <c r="C64" t="s">
        <v>348</v>
      </c>
      <c r="D64" t="s">
        <v>348</v>
      </c>
    </row>
    <row r="65" spans="3:4">
      <c r="C65" t="s">
        <v>348</v>
      </c>
      <c r="D65" t="s">
        <v>348</v>
      </c>
    </row>
  </sheetData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346</v>
      </c>
      <c r="D7" t="s">
        <v>346</v>
      </c>
    </row>
    <row r="8" spans="3:4">
      <c r="C8" t="s">
        <v>346</v>
      </c>
      <c r="D8" t="s">
        <v>346</v>
      </c>
    </row>
    <row r="9" spans="3:4">
      <c r="C9" t="s">
        <v>346</v>
      </c>
      <c r="D9" t="s">
        <v>346</v>
      </c>
    </row>
    <row r="10" spans="3:4">
      <c r="C10" t="s">
        <v>346</v>
      </c>
      <c r="D10" t="s">
        <v>346</v>
      </c>
    </row>
    <row r="11" spans="3:4">
      <c r="C11" t="s">
        <v>346</v>
      </c>
      <c r="D11" t="s">
        <v>346</v>
      </c>
    </row>
    <row r="12" spans="3:4">
      <c r="C12" t="s">
        <v>346</v>
      </c>
      <c r="D12" t="s">
        <v>346</v>
      </c>
    </row>
    <row r="13" spans="3:4">
      <c r="C13" t="s">
        <v>346</v>
      </c>
      <c r="D13" t="s">
        <v>346</v>
      </c>
    </row>
    <row r="14" spans="3:4">
      <c r="C14" t="s">
        <v>346</v>
      </c>
      <c r="D14" t="s">
        <v>346</v>
      </c>
    </row>
    <row r="15" spans="3:4">
      <c r="C15" t="s">
        <v>346</v>
      </c>
      <c r="D15" t="s">
        <v>346</v>
      </c>
    </row>
    <row r="16" spans="3:4">
      <c r="C16" t="s">
        <v>346</v>
      </c>
      <c r="D16" t="s">
        <v>346</v>
      </c>
    </row>
    <row r="17" spans="3:4">
      <c r="C17" t="s">
        <v>346</v>
      </c>
      <c r="D17" t="s">
        <v>346</v>
      </c>
    </row>
    <row r="18" spans="3:4">
      <c r="C18" t="s">
        <v>346</v>
      </c>
      <c r="D18" t="s">
        <v>346</v>
      </c>
    </row>
    <row r="19" spans="3:4">
      <c r="C19" t="s">
        <v>346</v>
      </c>
      <c r="D19" t="s">
        <v>346</v>
      </c>
    </row>
    <row r="20" spans="3:4">
      <c r="C20" t="s">
        <v>346</v>
      </c>
      <c r="D20" t="s">
        <v>346</v>
      </c>
    </row>
    <row r="21" spans="3:4">
      <c r="C21" t="s">
        <v>346</v>
      </c>
      <c r="D21" t="s">
        <v>346</v>
      </c>
    </row>
    <row r="22" spans="3:4">
      <c r="C22" t="s">
        <v>346</v>
      </c>
      <c r="D22" t="s">
        <v>346</v>
      </c>
    </row>
    <row r="23" spans="3:4">
      <c r="C23" t="s">
        <v>346</v>
      </c>
      <c r="D23" t="s">
        <v>346</v>
      </c>
    </row>
    <row r="24" spans="3:4">
      <c r="C24" t="s">
        <v>346</v>
      </c>
      <c r="D24" t="s">
        <v>346</v>
      </c>
    </row>
    <row r="25" spans="3:4">
      <c r="C25" t="s">
        <v>346</v>
      </c>
      <c r="D25" t="s">
        <v>346</v>
      </c>
    </row>
    <row r="26" spans="3:4">
      <c r="C26" t="s">
        <v>346</v>
      </c>
      <c r="D26" t="s">
        <v>346</v>
      </c>
    </row>
    <row r="27" spans="3:4">
      <c r="C27" t="s">
        <v>346</v>
      </c>
      <c r="D27" t="s">
        <v>346</v>
      </c>
    </row>
    <row r="28" spans="3:4">
      <c r="C28" t="s">
        <v>346</v>
      </c>
      <c r="D28" t="s">
        <v>346</v>
      </c>
    </row>
    <row r="29" spans="3:4">
      <c r="C29" t="s">
        <v>346</v>
      </c>
      <c r="D29" t="s">
        <v>346</v>
      </c>
    </row>
    <row r="30" spans="3:4">
      <c r="C30" t="s">
        <v>346</v>
      </c>
      <c r="D30" t="s">
        <v>346</v>
      </c>
    </row>
    <row r="31" spans="3:4">
      <c r="C31" t="s">
        <v>346</v>
      </c>
      <c r="D31" t="s">
        <v>346</v>
      </c>
    </row>
    <row r="32" spans="3:4">
      <c r="C32" t="s">
        <v>346</v>
      </c>
      <c r="D32" t="s">
        <v>346</v>
      </c>
    </row>
    <row r="33" spans="3:4">
      <c r="C33" t="s">
        <v>346</v>
      </c>
      <c r="D33" t="s">
        <v>346</v>
      </c>
    </row>
    <row r="34" spans="3:4">
      <c r="C34" t="s">
        <v>346</v>
      </c>
      <c r="D34" t="s">
        <v>346</v>
      </c>
    </row>
    <row r="35" spans="3:4">
      <c r="C35" t="s">
        <v>346</v>
      </c>
      <c r="D35" t="s">
        <v>346</v>
      </c>
    </row>
    <row r="36" spans="3:4">
      <c r="C36" t="s">
        <v>346</v>
      </c>
      <c r="D36" t="s">
        <v>346</v>
      </c>
    </row>
    <row r="37" spans="3:4">
      <c r="C37" t="s">
        <v>346</v>
      </c>
      <c r="D37" t="s">
        <v>346</v>
      </c>
    </row>
    <row r="38" spans="3:4">
      <c r="C38" t="s">
        <v>346</v>
      </c>
      <c r="D38" t="s">
        <v>346</v>
      </c>
    </row>
    <row r="39" spans="3:4">
      <c r="C39" t="s">
        <v>346</v>
      </c>
      <c r="D39" t="s">
        <v>346</v>
      </c>
    </row>
    <row r="40" spans="3:4">
      <c r="C40" t="s">
        <v>346</v>
      </c>
      <c r="D40" t="s">
        <v>346</v>
      </c>
    </row>
    <row r="41" spans="3:4">
      <c r="C41" t="s">
        <v>346</v>
      </c>
      <c r="D41" t="s">
        <v>346</v>
      </c>
    </row>
    <row r="42" spans="3:4">
      <c r="C42" t="s">
        <v>346</v>
      </c>
      <c r="D42" t="s">
        <v>346</v>
      </c>
    </row>
    <row r="43" spans="3:4">
      <c r="C43" t="s">
        <v>346</v>
      </c>
      <c r="D43" t="s">
        <v>346</v>
      </c>
    </row>
    <row r="44" spans="3:4">
      <c r="C44" t="s">
        <v>346</v>
      </c>
      <c r="D44" t="s">
        <v>346</v>
      </c>
    </row>
    <row r="45" spans="3:4">
      <c r="C45" t="s">
        <v>346</v>
      </c>
      <c r="D45" t="s">
        <v>346</v>
      </c>
    </row>
    <row r="46" spans="3:4">
      <c r="C46" t="s">
        <v>346</v>
      </c>
      <c r="D46" t="s">
        <v>346</v>
      </c>
    </row>
    <row r="47" spans="3:4">
      <c r="C47" t="s">
        <v>346</v>
      </c>
      <c r="D47" t="s">
        <v>346</v>
      </c>
    </row>
    <row r="48" spans="3:4">
      <c r="C48" t="s">
        <v>346</v>
      </c>
      <c r="D48" t="s">
        <v>346</v>
      </c>
    </row>
    <row r="49" spans="3:4">
      <c r="C49" t="s">
        <v>346</v>
      </c>
      <c r="D49" t="s">
        <v>346</v>
      </c>
    </row>
    <row r="50" spans="3:4">
      <c r="C50" t="s">
        <v>346</v>
      </c>
      <c r="D50" t="s">
        <v>346</v>
      </c>
    </row>
    <row r="51" spans="3:4">
      <c r="C51" t="s">
        <v>346</v>
      </c>
      <c r="D51" t="s">
        <v>346</v>
      </c>
    </row>
    <row r="52" spans="3:4">
      <c r="C52" t="s">
        <v>346</v>
      </c>
      <c r="D52" t="s">
        <v>346</v>
      </c>
    </row>
    <row r="53" spans="3:4">
      <c r="C53" t="s">
        <v>346</v>
      </c>
      <c r="D53" t="s">
        <v>346</v>
      </c>
    </row>
    <row r="54" spans="3:4">
      <c r="C54" t="s">
        <v>346</v>
      </c>
      <c r="D54" t="s">
        <v>346</v>
      </c>
    </row>
    <row r="55" spans="3:4">
      <c r="C55" t="s">
        <v>346</v>
      </c>
      <c r="D55" t="s">
        <v>346</v>
      </c>
    </row>
    <row r="56" spans="3:4">
      <c r="C56" t="s">
        <v>346</v>
      </c>
      <c r="D56" t="s">
        <v>346</v>
      </c>
    </row>
    <row r="57" spans="3:4">
      <c r="C57" t="s">
        <v>346</v>
      </c>
      <c r="D57" t="s">
        <v>346</v>
      </c>
    </row>
    <row r="58" spans="3:4">
      <c r="C58" t="s">
        <v>346</v>
      </c>
      <c r="D58" t="s">
        <v>346</v>
      </c>
    </row>
    <row r="59" spans="3:4">
      <c r="C59" t="s">
        <v>346</v>
      </c>
      <c r="D59" t="s">
        <v>346</v>
      </c>
    </row>
    <row r="60" spans="3:4">
      <c r="C60" t="s">
        <v>346</v>
      </c>
      <c r="D60" t="s">
        <v>346</v>
      </c>
    </row>
    <row r="61" spans="3:4">
      <c r="C61" t="s">
        <v>346</v>
      </c>
      <c r="D61" t="s">
        <v>346</v>
      </c>
    </row>
    <row r="62" spans="3:4">
      <c r="C62" t="s">
        <v>346</v>
      </c>
      <c r="D62" t="s">
        <v>346</v>
      </c>
    </row>
    <row r="63" spans="3:4">
      <c r="C63" t="s">
        <v>346</v>
      </c>
      <c r="D63" t="s">
        <v>346</v>
      </c>
    </row>
    <row r="64" spans="3:4">
      <c r="C64" t="s">
        <v>346</v>
      </c>
      <c r="D64" t="s">
        <v>346</v>
      </c>
    </row>
    <row r="65" spans="3:4">
      <c r="C65" t="s">
        <v>346</v>
      </c>
      <c r="D65" t="s">
        <v>346</v>
      </c>
    </row>
  </sheetData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344</v>
      </c>
      <c r="D7" t="s">
        <v>344</v>
      </c>
    </row>
    <row r="8" spans="3:4">
      <c r="C8" t="s">
        <v>344</v>
      </c>
      <c r="D8" t="s">
        <v>344</v>
      </c>
    </row>
    <row r="9" spans="3:4">
      <c r="C9" t="s">
        <v>344</v>
      </c>
      <c r="D9" t="s">
        <v>344</v>
      </c>
    </row>
    <row r="10" spans="3:4">
      <c r="C10" t="s">
        <v>344</v>
      </c>
      <c r="D10" t="s">
        <v>344</v>
      </c>
    </row>
    <row r="11" spans="3:4">
      <c r="C11" t="s">
        <v>344</v>
      </c>
      <c r="D11" t="s">
        <v>344</v>
      </c>
    </row>
    <row r="12" spans="3:4">
      <c r="C12" t="s">
        <v>344</v>
      </c>
      <c r="D12" t="s">
        <v>344</v>
      </c>
    </row>
    <row r="13" spans="3:4">
      <c r="C13" t="s">
        <v>344</v>
      </c>
      <c r="D13" t="s">
        <v>344</v>
      </c>
    </row>
    <row r="14" spans="3:4">
      <c r="C14" t="s">
        <v>344</v>
      </c>
      <c r="D14" t="s">
        <v>344</v>
      </c>
    </row>
    <row r="15" spans="3:4">
      <c r="C15" t="s">
        <v>344</v>
      </c>
      <c r="D15" t="s">
        <v>344</v>
      </c>
    </row>
    <row r="16" spans="3:4">
      <c r="C16" t="s">
        <v>344</v>
      </c>
      <c r="D16" t="s">
        <v>344</v>
      </c>
    </row>
    <row r="17" spans="3:4">
      <c r="C17" t="s">
        <v>344</v>
      </c>
      <c r="D17" t="s">
        <v>344</v>
      </c>
    </row>
    <row r="18" spans="3:4">
      <c r="C18" t="s">
        <v>344</v>
      </c>
      <c r="D18" t="s">
        <v>344</v>
      </c>
    </row>
    <row r="19" spans="3:4">
      <c r="C19" t="s">
        <v>344</v>
      </c>
      <c r="D19" t="s">
        <v>344</v>
      </c>
    </row>
    <row r="20" spans="3:4">
      <c r="C20" t="s">
        <v>344</v>
      </c>
      <c r="D20" t="s">
        <v>344</v>
      </c>
    </row>
    <row r="21" spans="3:4">
      <c r="C21" t="s">
        <v>344</v>
      </c>
      <c r="D21" t="s">
        <v>344</v>
      </c>
    </row>
    <row r="22" spans="3:4">
      <c r="C22" t="s">
        <v>344</v>
      </c>
      <c r="D22" t="s">
        <v>344</v>
      </c>
    </row>
    <row r="23" spans="3:4">
      <c r="C23" t="s">
        <v>344</v>
      </c>
      <c r="D23" t="s">
        <v>344</v>
      </c>
    </row>
    <row r="24" spans="3:4">
      <c r="C24" t="s">
        <v>344</v>
      </c>
      <c r="D24" t="s">
        <v>344</v>
      </c>
    </row>
    <row r="25" spans="3:4">
      <c r="C25" t="s">
        <v>344</v>
      </c>
      <c r="D25" t="s">
        <v>344</v>
      </c>
    </row>
    <row r="26" spans="3:4">
      <c r="C26" t="s">
        <v>344</v>
      </c>
      <c r="D26" t="s">
        <v>344</v>
      </c>
    </row>
    <row r="27" spans="3:4">
      <c r="C27" t="s">
        <v>344</v>
      </c>
      <c r="D27" t="s">
        <v>344</v>
      </c>
    </row>
    <row r="28" spans="3:4">
      <c r="C28" t="s">
        <v>344</v>
      </c>
      <c r="D28" t="s">
        <v>344</v>
      </c>
    </row>
    <row r="29" spans="3:4">
      <c r="C29" t="s">
        <v>344</v>
      </c>
      <c r="D29" t="s">
        <v>344</v>
      </c>
    </row>
    <row r="30" spans="3:4">
      <c r="C30" t="s">
        <v>344</v>
      </c>
      <c r="D30" t="s">
        <v>344</v>
      </c>
    </row>
    <row r="31" spans="3:4">
      <c r="C31" t="s">
        <v>344</v>
      </c>
      <c r="D31" t="s">
        <v>344</v>
      </c>
    </row>
    <row r="32" spans="3:4">
      <c r="C32" t="s">
        <v>344</v>
      </c>
      <c r="D32" t="s">
        <v>344</v>
      </c>
    </row>
    <row r="33" spans="3:4">
      <c r="C33" t="s">
        <v>344</v>
      </c>
      <c r="D33" t="s">
        <v>344</v>
      </c>
    </row>
    <row r="34" spans="3:4">
      <c r="C34" t="s">
        <v>344</v>
      </c>
      <c r="D34" t="s">
        <v>344</v>
      </c>
    </row>
    <row r="35" spans="3:4">
      <c r="C35" t="s">
        <v>344</v>
      </c>
      <c r="D35" t="s">
        <v>344</v>
      </c>
    </row>
    <row r="36" spans="3:4">
      <c r="C36" t="s">
        <v>344</v>
      </c>
      <c r="D36" t="s">
        <v>344</v>
      </c>
    </row>
    <row r="37" spans="3:4">
      <c r="C37" t="s">
        <v>344</v>
      </c>
      <c r="D37" t="s">
        <v>344</v>
      </c>
    </row>
    <row r="38" spans="3:4">
      <c r="C38" t="s">
        <v>344</v>
      </c>
      <c r="D38" t="s">
        <v>344</v>
      </c>
    </row>
    <row r="39" spans="3:4">
      <c r="C39" t="s">
        <v>344</v>
      </c>
      <c r="D39" t="s">
        <v>344</v>
      </c>
    </row>
    <row r="40" spans="3:4">
      <c r="C40" t="s">
        <v>344</v>
      </c>
      <c r="D40" t="s">
        <v>344</v>
      </c>
    </row>
    <row r="41" spans="3:4">
      <c r="C41" t="s">
        <v>344</v>
      </c>
      <c r="D41" t="s">
        <v>344</v>
      </c>
    </row>
    <row r="42" spans="3:4">
      <c r="C42" t="s">
        <v>344</v>
      </c>
      <c r="D42" t="s">
        <v>344</v>
      </c>
    </row>
    <row r="43" spans="3:4">
      <c r="C43" t="s">
        <v>344</v>
      </c>
      <c r="D43" t="s">
        <v>344</v>
      </c>
    </row>
    <row r="44" spans="3:4">
      <c r="C44" t="s">
        <v>344</v>
      </c>
      <c r="D44" t="s">
        <v>344</v>
      </c>
    </row>
    <row r="45" spans="3:4">
      <c r="C45" t="s">
        <v>344</v>
      </c>
      <c r="D45" t="s">
        <v>344</v>
      </c>
    </row>
    <row r="46" spans="3:4">
      <c r="C46" t="s">
        <v>344</v>
      </c>
      <c r="D46" t="s">
        <v>344</v>
      </c>
    </row>
    <row r="47" spans="3:4">
      <c r="C47" t="s">
        <v>344</v>
      </c>
      <c r="D47" t="s">
        <v>344</v>
      </c>
    </row>
    <row r="48" spans="3:4">
      <c r="C48" t="s">
        <v>344</v>
      </c>
      <c r="D48" t="s">
        <v>344</v>
      </c>
    </row>
    <row r="49" spans="3:4">
      <c r="C49" t="s">
        <v>344</v>
      </c>
      <c r="D49" t="s">
        <v>344</v>
      </c>
    </row>
    <row r="50" spans="3:4">
      <c r="C50" t="s">
        <v>344</v>
      </c>
      <c r="D50" t="s">
        <v>344</v>
      </c>
    </row>
    <row r="51" spans="3:4">
      <c r="C51" t="s">
        <v>344</v>
      </c>
      <c r="D51" t="s">
        <v>344</v>
      </c>
    </row>
    <row r="52" spans="3:4">
      <c r="C52" t="s">
        <v>344</v>
      </c>
      <c r="D52" t="s">
        <v>344</v>
      </c>
    </row>
    <row r="53" spans="3:4">
      <c r="C53" t="s">
        <v>344</v>
      </c>
      <c r="D53" t="s">
        <v>344</v>
      </c>
    </row>
    <row r="54" spans="3:4">
      <c r="C54" t="s">
        <v>344</v>
      </c>
      <c r="D54" t="s">
        <v>344</v>
      </c>
    </row>
    <row r="55" spans="3:4">
      <c r="C55" t="s">
        <v>344</v>
      </c>
      <c r="D55" t="s">
        <v>344</v>
      </c>
    </row>
    <row r="56" spans="3:4">
      <c r="C56" t="s">
        <v>344</v>
      </c>
      <c r="D56" t="s">
        <v>344</v>
      </c>
    </row>
    <row r="57" spans="3:4">
      <c r="C57" t="s">
        <v>344</v>
      </c>
      <c r="D57" t="s">
        <v>344</v>
      </c>
    </row>
    <row r="58" spans="3:4">
      <c r="C58" t="s">
        <v>344</v>
      </c>
      <c r="D58" t="s">
        <v>344</v>
      </c>
    </row>
    <row r="59" spans="3:4">
      <c r="C59" t="s">
        <v>344</v>
      </c>
      <c r="D59" t="s">
        <v>344</v>
      </c>
    </row>
    <row r="60" spans="3:4">
      <c r="C60" t="s">
        <v>344</v>
      </c>
      <c r="D60" t="s">
        <v>344</v>
      </c>
    </row>
    <row r="61" spans="3:4">
      <c r="C61" t="s">
        <v>344</v>
      </c>
      <c r="D61" t="s">
        <v>344</v>
      </c>
    </row>
    <row r="62" spans="3:4">
      <c r="C62" t="s">
        <v>344</v>
      </c>
      <c r="D62" t="s">
        <v>344</v>
      </c>
    </row>
    <row r="63" spans="3:4">
      <c r="C63" t="s">
        <v>344</v>
      </c>
      <c r="D63" t="s">
        <v>344</v>
      </c>
    </row>
    <row r="64" spans="3:4">
      <c r="C64" t="s">
        <v>344</v>
      </c>
      <c r="D64" t="s">
        <v>344</v>
      </c>
    </row>
    <row r="65" spans="3:4">
      <c r="C65" t="s">
        <v>344</v>
      </c>
      <c r="D65" t="s">
        <v>344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I48" sqref="I48"/>
    </sheetView>
  </sheetViews>
  <sheetFormatPr defaultColWidth="11.7109375" defaultRowHeight="15"/>
  <cols>
    <col min="1" max="1" width="58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233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3996644</v>
      </c>
      <c r="D8" s="11">
        <f>D9+D11+D14+D15</f>
        <v>3922083.13</v>
      </c>
    </row>
    <row r="9" spans="1:4" ht="30">
      <c r="A9" s="12" t="s">
        <v>90</v>
      </c>
      <c r="B9" s="13" t="s">
        <v>91</v>
      </c>
      <c r="C9" s="14">
        <f>3417128.2</f>
        <v>3417128.2</v>
      </c>
      <c r="D9" s="15">
        <f>3337230.32</f>
        <v>3337230.32</v>
      </c>
    </row>
    <row r="10" spans="1:4">
      <c r="A10" s="16" t="s">
        <v>92</v>
      </c>
      <c r="B10" s="17" t="s">
        <v>93</v>
      </c>
      <c r="C10" s="18">
        <f>2136733.85560676</f>
        <v>2136733.8556067599</v>
      </c>
      <c r="D10" s="19">
        <f>_24h_E12</f>
        <v>2136733.8556067599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579515.79999999993</v>
      </c>
      <c r="D15" s="15">
        <f>SUM(D16:D24)</f>
        <v>584852.80999999994</v>
      </c>
    </row>
    <row r="16" spans="1:4">
      <c r="A16" s="22" t="s">
        <v>103</v>
      </c>
      <c r="B16" s="17" t="s">
        <v>104</v>
      </c>
      <c r="C16" s="111">
        <v>417444.72</v>
      </c>
      <c r="D16" s="113">
        <v>399745.24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90827.04</f>
        <v>90827.04</v>
      </c>
      <c r="D18" s="19">
        <f>113858.73</f>
        <v>113858.73</v>
      </c>
    </row>
    <row r="19" spans="1:4">
      <c r="A19" s="22" t="s">
        <v>109</v>
      </c>
      <c r="B19" s="17" t="s">
        <v>110</v>
      </c>
      <c r="C19" s="18">
        <f>12958.56</f>
        <v>12958.56</v>
      </c>
      <c r="D19" s="19">
        <f>12967.26</f>
        <v>12967.26</v>
      </c>
    </row>
    <row r="20" spans="1:4">
      <c r="A20" s="22" t="s">
        <v>111</v>
      </c>
      <c r="B20" s="17" t="s">
        <v>112</v>
      </c>
      <c r="C20" s="18">
        <f>8923.12</f>
        <v>8923.1200000000008</v>
      </c>
      <c r="D20" s="19">
        <f>8919.22</f>
        <v>8919.2199999999993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49362.36</f>
        <v>49362.36</v>
      </c>
      <c r="D22" s="19">
        <f>49362.36</f>
        <v>49362.36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2036429.45000003</v>
      </c>
      <c r="D25" s="15">
        <f>D26+D27+D30+D28+D29+D31</f>
        <v>1662642.49</v>
      </c>
    </row>
    <row r="26" spans="1:4" ht="20.25" customHeight="1">
      <c r="A26" s="24" t="s">
        <v>123</v>
      </c>
      <c r="B26" s="20" t="s">
        <v>124</v>
      </c>
      <c r="C26" s="18">
        <f>884290.92</f>
        <v>884290.92</v>
      </c>
      <c r="D26" s="19">
        <f>879992.27</f>
        <v>879992.27</v>
      </c>
    </row>
    <row r="27" spans="1:4" ht="45">
      <c r="A27" s="24" t="s">
        <v>125</v>
      </c>
      <c r="B27" s="20" t="s">
        <v>126</v>
      </c>
      <c r="C27" s="18">
        <f>55437</f>
        <v>55437</v>
      </c>
      <c r="D27" s="19">
        <f>55505.84</f>
        <v>55505.84</v>
      </c>
    </row>
    <row r="28" spans="1:4" ht="34.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71184.36</f>
        <v>71184.36</v>
      </c>
      <c r="D29" s="19">
        <f>70562.07</f>
        <v>70562.070000000007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617061.17000002996</v>
      </c>
      <c r="D31" s="15">
        <f>SUM(D32:D39)</f>
        <v>248126.31</v>
      </c>
    </row>
    <row r="32" spans="1:4" ht="20.2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75234.12</f>
        <v>75234.12</v>
      </c>
      <c r="D33" s="19">
        <f>72549.13</f>
        <v>72549.13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129630.06</f>
        <v>129630.06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365131.89000003</f>
        <v>365131.89000002999</v>
      </c>
      <c r="D39" s="19">
        <v>0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v>308498.39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52090.55</v>
      </c>
      <c r="D45" s="27">
        <f>SUM(D46:D48)</f>
        <v>56540.24</v>
      </c>
    </row>
    <row r="46" spans="1:4">
      <c r="A46" s="21" t="s">
        <v>163</v>
      </c>
      <c r="B46" s="17" t="s">
        <v>164</v>
      </c>
      <c r="C46" s="18">
        <f>41251.44</f>
        <v>41251.440000000002</v>
      </c>
      <c r="D46" s="19">
        <f>45701.13</f>
        <v>45701.13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10839.11</f>
        <v>10839.11</v>
      </c>
      <c r="D48" s="19">
        <f>10839.11</f>
        <v>10839.11</v>
      </c>
    </row>
    <row r="49" spans="1:4">
      <c r="A49" s="8" t="s">
        <v>440</v>
      </c>
      <c r="B49" s="28" t="s">
        <v>168</v>
      </c>
      <c r="C49" s="29">
        <f>481191.6</f>
        <v>481191.6</v>
      </c>
      <c r="D49" s="30">
        <f>616591.35</f>
        <v>616591.35</v>
      </c>
    </row>
    <row r="50" spans="1:4">
      <c r="A50" s="8" t="s">
        <v>169</v>
      </c>
      <c r="B50" s="9" t="s">
        <v>170</v>
      </c>
      <c r="C50" s="14">
        <f>C8+C25+C40+C41+C42+C43+C44+C45+C49+C51+C52</f>
        <v>6566355.6000000294</v>
      </c>
      <c r="D50" s="15">
        <f>D8+D25+D40+D41+D42+D43+D44+D45+D49+D51+D52</f>
        <v>6566355.5999999996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3887667.3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3743018.82</f>
        <v>3743018.82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144648.48</f>
        <v>144648.48000000001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2030190</f>
        <v>2030190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5917857.2999999998</v>
      </c>
      <c r="D59" s="27">
        <f>D54+D57+D58</f>
        <v>0</v>
      </c>
    </row>
    <row r="60" spans="1:4" ht="25.5">
      <c r="A60" s="33" t="s">
        <v>188</v>
      </c>
      <c r="B60" s="9"/>
      <c r="C60" s="34">
        <v>24374</v>
      </c>
      <c r="D60" s="35">
        <v>24374</v>
      </c>
    </row>
    <row r="61" spans="1:4" ht="15.75" thickBot="1">
      <c r="A61" s="36" t="s">
        <v>189</v>
      </c>
      <c r="B61" s="37"/>
      <c r="C61" s="38">
        <f>(C50+C51+C52)/C60/12</f>
        <v>22.450000000000102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342</v>
      </c>
      <c r="D7" t="s">
        <v>342</v>
      </c>
    </row>
    <row r="8" spans="3:4">
      <c r="C8" t="s">
        <v>342</v>
      </c>
      <c r="D8" t="s">
        <v>342</v>
      </c>
    </row>
    <row r="9" spans="3:4">
      <c r="C9" t="s">
        <v>342</v>
      </c>
      <c r="D9" t="s">
        <v>342</v>
      </c>
    </row>
    <row r="10" spans="3:4">
      <c r="C10" t="s">
        <v>342</v>
      </c>
      <c r="D10" t="s">
        <v>342</v>
      </c>
    </row>
    <row r="11" spans="3:4">
      <c r="C11" t="s">
        <v>342</v>
      </c>
      <c r="D11" t="s">
        <v>342</v>
      </c>
    </row>
    <row r="12" spans="3:4">
      <c r="C12" t="s">
        <v>342</v>
      </c>
      <c r="D12" t="s">
        <v>342</v>
      </c>
    </row>
    <row r="13" spans="3:4">
      <c r="C13" t="s">
        <v>342</v>
      </c>
      <c r="D13" t="s">
        <v>342</v>
      </c>
    </row>
    <row r="14" spans="3:4">
      <c r="C14" t="s">
        <v>342</v>
      </c>
      <c r="D14" t="s">
        <v>342</v>
      </c>
    </row>
    <row r="15" spans="3:4">
      <c r="C15" t="s">
        <v>342</v>
      </c>
      <c r="D15" t="s">
        <v>342</v>
      </c>
    </row>
    <row r="16" spans="3:4">
      <c r="C16" t="s">
        <v>342</v>
      </c>
      <c r="D16" t="s">
        <v>342</v>
      </c>
    </row>
    <row r="17" spans="3:4">
      <c r="C17" t="s">
        <v>342</v>
      </c>
      <c r="D17" t="s">
        <v>342</v>
      </c>
    </row>
    <row r="18" spans="3:4">
      <c r="C18" t="s">
        <v>342</v>
      </c>
      <c r="D18" t="s">
        <v>342</v>
      </c>
    </row>
    <row r="19" spans="3:4">
      <c r="C19" t="s">
        <v>342</v>
      </c>
      <c r="D19" t="s">
        <v>342</v>
      </c>
    </row>
    <row r="20" spans="3:4">
      <c r="C20" t="s">
        <v>342</v>
      </c>
      <c r="D20" t="s">
        <v>342</v>
      </c>
    </row>
    <row r="21" spans="3:4">
      <c r="C21" t="s">
        <v>342</v>
      </c>
      <c r="D21" t="s">
        <v>342</v>
      </c>
    </row>
    <row r="22" spans="3:4">
      <c r="C22" t="s">
        <v>342</v>
      </c>
      <c r="D22" t="s">
        <v>342</v>
      </c>
    </row>
    <row r="23" spans="3:4">
      <c r="C23" t="s">
        <v>342</v>
      </c>
      <c r="D23" t="s">
        <v>342</v>
      </c>
    </row>
    <row r="24" spans="3:4">
      <c r="C24" t="s">
        <v>342</v>
      </c>
      <c r="D24" t="s">
        <v>342</v>
      </c>
    </row>
    <row r="25" spans="3:4">
      <c r="C25" t="s">
        <v>342</v>
      </c>
      <c r="D25" t="s">
        <v>342</v>
      </c>
    </row>
    <row r="26" spans="3:4">
      <c r="C26" t="s">
        <v>342</v>
      </c>
      <c r="D26" t="s">
        <v>342</v>
      </c>
    </row>
    <row r="27" spans="3:4">
      <c r="C27" t="s">
        <v>342</v>
      </c>
      <c r="D27" t="s">
        <v>342</v>
      </c>
    </row>
    <row r="28" spans="3:4">
      <c r="C28" t="s">
        <v>342</v>
      </c>
      <c r="D28" t="s">
        <v>342</v>
      </c>
    </row>
    <row r="29" spans="3:4">
      <c r="C29" t="s">
        <v>342</v>
      </c>
      <c r="D29" t="s">
        <v>342</v>
      </c>
    </row>
    <row r="30" spans="3:4">
      <c r="C30" t="s">
        <v>342</v>
      </c>
      <c r="D30" t="s">
        <v>342</v>
      </c>
    </row>
    <row r="31" spans="3:4">
      <c r="C31" t="s">
        <v>342</v>
      </c>
      <c r="D31" t="s">
        <v>342</v>
      </c>
    </row>
    <row r="32" spans="3:4">
      <c r="C32" t="s">
        <v>342</v>
      </c>
      <c r="D32" t="s">
        <v>342</v>
      </c>
    </row>
    <row r="33" spans="3:4">
      <c r="C33" t="s">
        <v>342</v>
      </c>
      <c r="D33" t="s">
        <v>342</v>
      </c>
    </row>
    <row r="34" spans="3:4">
      <c r="C34" t="s">
        <v>342</v>
      </c>
      <c r="D34" t="s">
        <v>342</v>
      </c>
    </row>
    <row r="35" spans="3:4">
      <c r="C35" t="s">
        <v>342</v>
      </c>
      <c r="D35" t="s">
        <v>342</v>
      </c>
    </row>
    <row r="36" spans="3:4">
      <c r="C36" t="s">
        <v>342</v>
      </c>
      <c r="D36" t="s">
        <v>342</v>
      </c>
    </row>
    <row r="37" spans="3:4">
      <c r="C37" t="s">
        <v>342</v>
      </c>
      <c r="D37" t="s">
        <v>342</v>
      </c>
    </row>
    <row r="38" spans="3:4">
      <c r="C38" t="s">
        <v>342</v>
      </c>
      <c r="D38" t="s">
        <v>342</v>
      </c>
    </row>
    <row r="39" spans="3:4">
      <c r="C39" t="s">
        <v>342</v>
      </c>
      <c r="D39" t="s">
        <v>342</v>
      </c>
    </row>
    <row r="40" spans="3:4">
      <c r="C40" t="s">
        <v>342</v>
      </c>
      <c r="D40" t="s">
        <v>342</v>
      </c>
    </row>
    <row r="41" spans="3:4">
      <c r="C41" t="s">
        <v>342</v>
      </c>
      <c r="D41" t="s">
        <v>342</v>
      </c>
    </row>
    <row r="42" spans="3:4">
      <c r="C42" t="s">
        <v>342</v>
      </c>
      <c r="D42" t="s">
        <v>342</v>
      </c>
    </row>
    <row r="43" spans="3:4">
      <c r="C43" t="s">
        <v>342</v>
      </c>
      <c r="D43" t="s">
        <v>342</v>
      </c>
    </row>
    <row r="44" spans="3:4">
      <c r="C44" t="s">
        <v>342</v>
      </c>
      <c r="D44" t="s">
        <v>342</v>
      </c>
    </row>
    <row r="45" spans="3:4">
      <c r="C45" t="s">
        <v>342</v>
      </c>
      <c r="D45" t="s">
        <v>342</v>
      </c>
    </row>
    <row r="46" spans="3:4">
      <c r="C46" t="s">
        <v>342</v>
      </c>
      <c r="D46" t="s">
        <v>342</v>
      </c>
    </row>
    <row r="47" spans="3:4">
      <c r="C47" t="s">
        <v>342</v>
      </c>
      <c r="D47" t="s">
        <v>342</v>
      </c>
    </row>
    <row r="48" spans="3:4">
      <c r="C48" t="s">
        <v>342</v>
      </c>
      <c r="D48" t="s">
        <v>342</v>
      </c>
    </row>
    <row r="49" spans="3:4">
      <c r="C49" t="s">
        <v>342</v>
      </c>
      <c r="D49" t="s">
        <v>342</v>
      </c>
    </row>
    <row r="50" spans="3:4">
      <c r="C50" t="s">
        <v>342</v>
      </c>
      <c r="D50" t="s">
        <v>342</v>
      </c>
    </row>
    <row r="51" spans="3:4">
      <c r="C51" t="s">
        <v>342</v>
      </c>
      <c r="D51" t="s">
        <v>342</v>
      </c>
    </row>
    <row r="52" spans="3:4">
      <c r="C52" t="s">
        <v>342</v>
      </c>
      <c r="D52" t="s">
        <v>342</v>
      </c>
    </row>
    <row r="53" spans="3:4">
      <c r="C53" t="s">
        <v>342</v>
      </c>
      <c r="D53" t="s">
        <v>342</v>
      </c>
    </row>
    <row r="54" spans="3:4">
      <c r="C54" t="s">
        <v>342</v>
      </c>
      <c r="D54" t="s">
        <v>342</v>
      </c>
    </row>
    <row r="55" spans="3:4">
      <c r="C55" t="s">
        <v>342</v>
      </c>
      <c r="D55" t="s">
        <v>342</v>
      </c>
    </row>
    <row r="56" spans="3:4">
      <c r="C56" t="s">
        <v>342</v>
      </c>
      <c r="D56" t="s">
        <v>342</v>
      </c>
    </row>
    <row r="57" spans="3:4">
      <c r="C57" t="s">
        <v>342</v>
      </c>
      <c r="D57" t="s">
        <v>342</v>
      </c>
    </row>
    <row r="58" spans="3:4">
      <c r="C58" t="s">
        <v>342</v>
      </c>
      <c r="D58" t="s">
        <v>342</v>
      </c>
    </row>
    <row r="59" spans="3:4">
      <c r="C59" t="s">
        <v>342</v>
      </c>
      <c r="D59" t="s">
        <v>342</v>
      </c>
    </row>
    <row r="60" spans="3:4">
      <c r="C60" t="s">
        <v>342</v>
      </c>
      <c r="D60" t="s">
        <v>342</v>
      </c>
    </row>
    <row r="61" spans="3:4">
      <c r="C61" t="s">
        <v>342</v>
      </c>
      <c r="D61" t="s">
        <v>342</v>
      </c>
    </row>
    <row r="62" spans="3:4">
      <c r="C62" t="s">
        <v>342</v>
      </c>
      <c r="D62" t="s">
        <v>342</v>
      </c>
    </row>
    <row r="63" spans="3:4">
      <c r="C63" t="s">
        <v>342</v>
      </c>
      <c r="D63" t="s">
        <v>342</v>
      </c>
    </row>
    <row r="64" spans="3:4">
      <c r="C64" t="s">
        <v>342</v>
      </c>
      <c r="D64" t="s">
        <v>342</v>
      </c>
    </row>
    <row r="65" spans="3:4">
      <c r="C65" t="s">
        <v>342</v>
      </c>
      <c r="D65" t="s">
        <v>342</v>
      </c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340</v>
      </c>
      <c r="D7" t="s">
        <v>340</v>
      </c>
    </row>
    <row r="8" spans="3:4">
      <c r="C8" t="s">
        <v>340</v>
      </c>
      <c r="D8" t="s">
        <v>340</v>
      </c>
    </row>
    <row r="9" spans="3:4">
      <c r="C9" t="s">
        <v>340</v>
      </c>
      <c r="D9" t="s">
        <v>340</v>
      </c>
    </row>
    <row r="10" spans="3:4">
      <c r="C10" t="s">
        <v>340</v>
      </c>
      <c r="D10" t="s">
        <v>340</v>
      </c>
    </row>
    <row r="11" spans="3:4">
      <c r="C11" t="s">
        <v>340</v>
      </c>
      <c r="D11" t="s">
        <v>340</v>
      </c>
    </row>
    <row r="12" spans="3:4">
      <c r="C12" t="s">
        <v>340</v>
      </c>
      <c r="D12" t="s">
        <v>340</v>
      </c>
    </row>
    <row r="13" spans="3:4">
      <c r="C13" t="s">
        <v>340</v>
      </c>
      <c r="D13" t="s">
        <v>340</v>
      </c>
    </row>
    <row r="14" spans="3:4">
      <c r="C14" t="s">
        <v>340</v>
      </c>
      <c r="D14" t="s">
        <v>340</v>
      </c>
    </row>
    <row r="15" spans="3:4">
      <c r="C15" t="s">
        <v>340</v>
      </c>
      <c r="D15" t="s">
        <v>340</v>
      </c>
    </row>
    <row r="16" spans="3:4">
      <c r="C16" t="s">
        <v>340</v>
      </c>
      <c r="D16" t="s">
        <v>340</v>
      </c>
    </row>
    <row r="17" spans="3:4">
      <c r="C17" t="s">
        <v>340</v>
      </c>
      <c r="D17" t="s">
        <v>340</v>
      </c>
    </row>
    <row r="18" spans="3:4">
      <c r="C18" t="s">
        <v>340</v>
      </c>
      <c r="D18" t="s">
        <v>340</v>
      </c>
    </row>
    <row r="19" spans="3:4">
      <c r="C19" t="s">
        <v>340</v>
      </c>
      <c r="D19" t="s">
        <v>340</v>
      </c>
    </row>
    <row r="20" spans="3:4">
      <c r="C20" t="s">
        <v>340</v>
      </c>
      <c r="D20" t="s">
        <v>340</v>
      </c>
    </row>
    <row r="21" spans="3:4">
      <c r="C21" t="s">
        <v>340</v>
      </c>
      <c r="D21" t="s">
        <v>340</v>
      </c>
    </row>
    <row r="22" spans="3:4">
      <c r="C22" t="s">
        <v>340</v>
      </c>
      <c r="D22" t="s">
        <v>340</v>
      </c>
    </row>
    <row r="23" spans="3:4">
      <c r="C23" t="s">
        <v>340</v>
      </c>
      <c r="D23" t="s">
        <v>340</v>
      </c>
    </row>
    <row r="24" spans="3:4">
      <c r="C24" t="s">
        <v>340</v>
      </c>
      <c r="D24" t="s">
        <v>340</v>
      </c>
    </row>
    <row r="25" spans="3:4">
      <c r="C25" t="s">
        <v>340</v>
      </c>
      <c r="D25" t="s">
        <v>340</v>
      </c>
    </row>
    <row r="26" spans="3:4">
      <c r="C26" t="s">
        <v>340</v>
      </c>
      <c r="D26" t="s">
        <v>340</v>
      </c>
    </row>
    <row r="27" spans="3:4">
      <c r="C27" t="s">
        <v>340</v>
      </c>
      <c r="D27" t="s">
        <v>340</v>
      </c>
    </row>
    <row r="28" spans="3:4">
      <c r="C28" t="s">
        <v>340</v>
      </c>
      <c r="D28" t="s">
        <v>340</v>
      </c>
    </row>
    <row r="29" spans="3:4">
      <c r="C29" t="s">
        <v>340</v>
      </c>
      <c r="D29" t="s">
        <v>340</v>
      </c>
    </row>
    <row r="30" spans="3:4">
      <c r="C30" t="s">
        <v>340</v>
      </c>
      <c r="D30" t="s">
        <v>340</v>
      </c>
    </row>
    <row r="31" spans="3:4">
      <c r="C31" t="s">
        <v>340</v>
      </c>
      <c r="D31" t="s">
        <v>340</v>
      </c>
    </row>
    <row r="32" spans="3:4">
      <c r="C32" t="s">
        <v>340</v>
      </c>
      <c r="D32" t="s">
        <v>340</v>
      </c>
    </row>
    <row r="33" spans="3:4">
      <c r="C33" t="s">
        <v>340</v>
      </c>
      <c r="D33" t="s">
        <v>340</v>
      </c>
    </row>
    <row r="34" spans="3:4">
      <c r="C34" t="s">
        <v>340</v>
      </c>
      <c r="D34" t="s">
        <v>340</v>
      </c>
    </row>
    <row r="35" spans="3:4">
      <c r="C35" t="s">
        <v>340</v>
      </c>
      <c r="D35" t="s">
        <v>340</v>
      </c>
    </row>
    <row r="36" spans="3:4">
      <c r="C36" t="s">
        <v>340</v>
      </c>
      <c r="D36" t="s">
        <v>340</v>
      </c>
    </row>
    <row r="37" spans="3:4">
      <c r="C37" t="s">
        <v>340</v>
      </c>
      <c r="D37" t="s">
        <v>340</v>
      </c>
    </row>
    <row r="38" spans="3:4">
      <c r="C38" t="s">
        <v>340</v>
      </c>
      <c r="D38" t="s">
        <v>340</v>
      </c>
    </row>
    <row r="39" spans="3:4">
      <c r="C39" t="s">
        <v>340</v>
      </c>
      <c r="D39" t="s">
        <v>340</v>
      </c>
    </row>
    <row r="40" spans="3:4">
      <c r="C40" t="s">
        <v>340</v>
      </c>
      <c r="D40" t="s">
        <v>340</v>
      </c>
    </row>
    <row r="41" spans="3:4">
      <c r="C41" t="s">
        <v>340</v>
      </c>
      <c r="D41" t="s">
        <v>340</v>
      </c>
    </row>
    <row r="42" spans="3:4">
      <c r="C42" t="s">
        <v>340</v>
      </c>
      <c r="D42" t="s">
        <v>340</v>
      </c>
    </row>
    <row r="43" spans="3:4">
      <c r="C43" t="s">
        <v>340</v>
      </c>
      <c r="D43" t="s">
        <v>340</v>
      </c>
    </row>
    <row r="44" spans="3:4">
      <c r="C44" t="s">
        <v>340</v>
      </c>
      <c r="D44" t="s">
        <v>340</v>
      </c>
    </row>
    <row r="45" spans="3:4">
      <c r="C45" t="s">
        <v>340</v>
      </c>
      <c r="D45" t="s">
        <v>340</v>
      </c>
    </row>
    <row r="46" spans="3:4">
      <c r="C46" t="s">
        <v>340</v>
      </c>
      <c r="D46" t="s">
        <v>340</v>
      </c>
    </row>
    <row r="47" spans="3:4">
      <c r="C47" t="s">
        <v>340</v>
      </c>
      <c r="D47" t="s">
        <v>340</v>
      </c>
    </row>
    <row r="48" spans="3:4">
      <c r="C48" t="s">
        <v>340</v>
      </c>
      <c r="D48" t="s">
        <v>340</v>
      </c>
    </row>
    <row r="49" spans="3:4">
      <c r="C49" t="s">
        <v>340</v>
      </c>
      <c r="D49" t="s">
        <v>340</v>
      </c>
    </row>
    <row r="50" spans="3:4">
      <c r="C50" t="s">
        <v>340</v>
      </c>
      <c r="D50" t="s">
        <v>340</v>
      </c>
    </row>
    <row r="51" spans="3:4">
      <c r="C51" t="s">
        <v>340</v>
      </c>
      <c r="D51" t="s">
        <v>340</v>
      </c>
    </row>
    <row r="52" spans="3:4">
      <c r="C52" t="s">
        <v>340</v>
      </c>
      <c r="D52" t="s">
        <v>340</v>
      </c>
    </row>
    <row r="53" spans="3:4">
      <c r="C53" t="s">
        <v>340</v>
      </c>
      <c r="D53" t="s">
        <v>340</v>
      </c>
    </row>
    <row r="54" spans="3:4">
      <c r="C54" t="s">
        <v>340</v>
      </c>
      <c r="D54" t="s">
        <v>340</v>
      </c>
    </row>
    <row r="55" spans="3:4">
      <c r="C55" t="s">
        <v>340</v>
      </c>
      <c r="D55" t="s">
        <v>340</v>
      </c>
    </row>
    <row r="56" spans="3:4">
      <c r="C56" t="s">
        <v>340</v>
      </c>
      <c r="D56" t="s">
        <v>340</v>
      </c>
    </row>
    <row r="57" spans="3:4">
      <c r="C57" t="s">
        <v>340</v>
      </c>
      <c r="D57" t="s">
        <v>340</v>
      </c>
    </row>
    <row r="58" spans="3:4">
      <c r="C58" t="s">
        <v>340</v>
      </c>
      <c r="D58" t="s">
        <v>340</v>
      </c>
    </row>
    <row r="59" spans="3:4">
      <c r="C59" t="s">
        <v>340</v>
      </c>
      <c r="D59" t="s">
        <v>340</v>
      </c>
    </row>
    <row r="60" spans="3:4">
      <c r="C60" t="s">
        <v>340</v>
      </c>
      <c r="D60" t="s">
        <v>340</v>
      </c>
    </row>
    <row r="61" spans="3:4">
      <c r="C61" t="s">
        <v>340</v>
      </c>
      <c r="D61" t="s">
        <v>340</v>
      </c>
    </row>
    <row r="62" spans="3:4">
      <c r="C62" t="s">
        <v>340</v>
      </c>
      <c r="D62" t="s">
        <v>340</v>
      </c>
    </row>
    <row r="63" spans="3:4">
      <c r="C63" t="s">
        <v>340</v>
      </c>
      <c r="D63" t="s">
        <v>340</v>
      </c>
    </row>
    <row r="64" spans="3:4">
      <c r="C64" t="s">
        <v>340</v>
      </c>
      <c r="D64" t="s">
        <v>340</v>
      </c>
    </row>
    <row r="65" spans="3:4">
      <c r="C65" t="s">
        <v>340</v>
      </c>
      <c r="D65" t="s">
        <v>340</v>
      </c>
    </row>
  </sheetData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338</v>
      </c>
      <c r="D7" t="s">
        <v>338</v>
      </c>
    </row>
    <row r="8" spans="3:4">
      <c r="C8" t="s">
        <v>338</v>
      </c>
      <c r="D8" t="s">
        <v>338</v>
      </c>
    </row>
    <row r="9" spans="3:4">
      <c r="C9" t="s">
        <v>338</v>
      </c>
      <c r="D9" t="s">
        <v>338</v>
      </c>
    </row>
    <row r="10" spans="3:4">
      <c r="C10" t="s">
        <v>338</v>
      </c>
      <c r="D10" t="s">
        <v>338</v>
      </c>
    </row>
    <row r="11" spans="3:4">
      <c r="C11" t="s">
        <v>338</v>
      </c>
      <c r="D11" t="s">
        <v>338</v>
      </c>
    </row>
    <row r="12" spans="3:4">
      <c r="C12" t="s">
        <v>338</v>
      </c>
      <c r="D12" t="s">
        <v>338</v>
      </c>
    </row>
    <row r="13" spans="3:4">
      <c r="C13" t="s">
        <v>338</v>
      </c>
      <c r="D13" t="s">
        <v>338</v>
      </c>
    </row>
    <row r="14" spans="3:4">
      <c r="C14" t="s">
        <v>338</v>
      </c>
      <c r="D14" t="s">
        <v>338</v>
      </c>
    </row>
    <row r="15" spans="3:4">
      <c r="C15" t="s">
        <v>338</v>
      </c>
      <c r="D15" t="s">
        <v>338</v>
      </c>
    </row>
    <row r="16" spans="3:4">
      <c r="C16" t="s">
        <v>338</v>
      </c>
      <c r="D16" t="s">
        <v>338</v>
      </c>
    </row>
    <row r="17" spans="3:4">
      <c r="C17" t="s">
        <v>338</v>
      </c>
      <c r="D17" t="s">
        <v>338</v>
      </c>
    </row>
    <row r="18" spans="3:4">
      <c r="C18" t="s">
        <v>338</v>
      </c>
      <c r="D18" t="s">
        <v>338</v>
      </c>
    </row>
    <row r="19" spans="3:4">
      <c r="C19" t="s">
        <v>338</v>
      </c>
      <c r="D19" t="s">
        <v>338</v>
      </c>
    </row>
    <row r="20" spans="3:4">
      <c r="C20" t="s">
        <v>338</v>
      </c>
      <c r="D20" t="s">
        <v>338</v>
      </c>
    </row>
    <row r="21" spans="3:4">
      <c r="C21" t="s">
        <v>338</v>
      </c>
      <c r="D21" t="s">
        <v>338</v>
      </c>
    </row>
    <row r="22" spans="3:4">
      <c r="C22" t="s">
        <v>338</v>
      </c>
      <c r="D22" t="s">
        <v>338</v>
      </c>
    </row>
    <row r="23" spans="3:4">
      <c r="C23" t="s">
        <v>338</v>
      </c>
      <c r="D23" t="s">
        <v>338</v>
      </c>
    </row>
    <row r="24" spans="3:4">
      <c r="C24" t="s">
        <v>338</v>
      </c>
      <c r="D24" t="s">
        <v>338</v>
      </c>
    </row>
    <row r="25" spans="3:4">
      <c r="C25" t="s">
        <v>338</v>
      </c>
      <c r="D25" t="s">
        <v>338</v>
      </c>
    </row>
    <row r="26" spans="3:4">
      <c r="C26" t="s">
        <v>338</v>
      </c>
      <c r="D26" t="s">
        <v>338</v>
      </c>
    </row>
    <row r="27" spans="3:4">
      <c r="C27" t="s">
        <v>338</v>
      </c>
      <c r="D27" t="s">
        <v>338</v>
      </c>
    </row>
    <row r="28" spans="3:4">
      <c r="C28" t="s">
        <v>338</v>
      </c>
      <c r="D28" t="s">
        <v>338</v>
      </c>
    </row>
    <row r="29" spans="3:4">
      <c r="C29" t="s">
        <v>338</v>
      </c>
      <c r="D29" t="s">
        <v>338</v>
      </c>
    </row>
    <row r="30" spans="3:4">
      <c r="C30" t="s">
        <v>338</v>
      </c>
      <c r="D30" t="s">
        <v>338</v>
      </c>
    </row>
    <row r="31" spans="3:4">
      <c r="C31" t="s">
        <v>338</v>
      </c>
      <c r="D31" t="s">
        <v>338</v>
      </c>
    </row>
    <row r="32" spans="3:4">
      <c r="C32" t="s">
        <v>338</v>
      </c>
      <c r="D32" t="s">
        <v>338</v>
      </c>
    </row>
    <row r="33" spans="3:4">
      <c r="C33" t="s">
        <v>338</v>
      </c>
      <c r="D33" t="s">
        <v>338</v>
      </c>
    </row>
    <row r="34" spans="3:4">
      <c r="C34" t="s">
        <v>338</v>
      </c>
      <c r="D34" t="s">
        <v>338</v>
      </c>
    </row>
    <row r="35" spans="3:4">
      <c r="C35" t="s">
        <v>338</v>
      </c>
      <c r="D35" t="s">
        <v>338</v>
      </c>
    </row>
    <row r="36" spans="3:4">
      <c r="C36" t="s">
        <v>338</v>
      </c>
      <c r="D36" t="s">
        <v>338</v>
      </c>
    </row>
    <row r="37" spans="3:4">
      <c r="C37" t="s">
        <v>338</v>
      </c>
      <c r="D37" t="s">
        <v>338</v>
      </c>
    </row>
    <row r="38" spans="3:4">
      <c r="C38" t="s">
        <v>338</v>
      </c>
      <c r="D38" t="s">
        <v>338</v>
      </c>
    </row>
    <row r="39" spans="3:4">
      <c r="C39" t="s">
        <v>338</v>
      </c>
      <c r="D39" t="s">
        <v>338</v>
      </c>
    </row>
    <row r="40" spans="3:4">
      <c r="C40" t="s">
        <v>338</v>
      </c>
      <c r="D40" t="s">
        <v>338</v>
      </c>
    </row>
    <row r="41" spans="3:4">
      <c r="C41" t="s">
        <v>338</v>
      </c>
      <c r="D41" t="s">
        <v>338</v>
      </c>
    </row>
    <row r="42" spans="3:4">
      <c r="C42" t="s">
        <v>338</v>
      </c>
      <c r="D42" t="s">
        <v>338</v>
      </c>
    </row>
    <row r="43" spans="3:4">
      <c r="C43" t="s">
        <v>338</v>
      </c>
      <c r="D43" t="s">
        <v>338</v>
      </c>
    </row>
    <row r="44" spans="3:4">
      <c r="C44" t="s">
        <v>338</v>
      </c>
      <c r="D44" t="s">
        <v>338</v>
      </c>
    </row>
    <row r="45" spans="3:4">
      <c r="C45" t="s">
        <v>338</v>
      </c>
      <c r="D45" t="s">
        <v>338</v>
      </c>
    </row>
    <row r="46" spans="3:4">
      <c r="C46" t="s">
        <v>338</v>
      </c>
      <c r="D46" t="s">
        <v>338</v>
      </c>
    </row>
    <row r="47" spans="3:4">
      <c r="C47" t="s">
        <v>338</v>
      </c>
      <c r="D47" t="s">
        <v>338</v>
      </c>
    </row>
    <row r="48" spans="3:4">
      <c r="C48" t="s">
        <v>338</v>
      </c>
      <c r="D48" t="s">
        <v>338</v>
      </c>
    </row>
    <row r="49" spans="3:4">
      <c r="C49" t="s">
        <v>338</v>
      </c>
      <c r="D49" t="s">
        <v>338</v>
      </c>
    </row>
    <row r="50" spans="3:4">
      <c r="C50" t="s">
        <v>338</v>
      </c>
      <c r="D50" t="s">
        <v>338</v>
      </c>
    </row>
    <row r="51" spans="3:4">
      <c r="C51" t="s">
        <v>338</v>
      </c>
      <c r="D51" t="s">
        <v>338</v>
      </c>
    </row>
    <row r="52" spans="3:4">
      <c r="C52" t="s">
        <v>338</v>
      </c>
      <c r="D52" t="s">
        <v>338</v>
      </c>
    </row>
    <row r="53" spans="3:4">
      <c r="C53" t="s">
        <v>338</v>
      </c>
      <c r="D53" t="s">
        <v>338</v>
      </c>
    </row>
    <row r="54" spans="3:4">
      <c r="C54" t="s">
        <v>338</v>
      </c>
      <c r="D54" t="s">
        <v>338</v>
      </c>
    </row>
    <row r="55" spans="3:4">
      <c r="C55" t="s">
        <v>338</v>
      </c>
      <c r="D55" t="s">
        <v>338</v>
      </c>
    </row>
    <row r="56" spans="3:4">
      <c r="C56" t="s">
        <v>338</v>
      </c>
      <c r="D56" t="s">
        <v>338</v>
      </c>
    </row>
    <row r="57" spans="3:4">
      <c r="C57" t="s">
        <v>338</v>
      </c>
      <c r="D57" t="s">
        <v>338</v>
      </c>
    </row>
    <row r="58" spans="3:4">
      <c r="C58" t="s">
        <v>338</v>
      </c>
      <c r="D58" t="s">
        <v>338</v>
      </c>
    </row>
    <row r="59" spans="3:4">
      <c r="C59" t="s">
        <v>338</v>
      </c>
      <c r="D59" t="s">
        <v>338</v>
      </c>
    </row>
    <row r="60" spans="3:4">
      <c r="C60" t="s">
        <v>338</v>
      </c>
      <c r="D60" t="s">
        <v>338</v>
      </c>
    </row>
    <row r="61" spans="3:4">
      <c r="C61" t="s">
        <v>338</v>
      </c>
      <c r="D61" t="s">
        <v>338</v>
      </c>
    </row>
    <row r="62" spans="3:4">
      <c r="C62" t="s">
        <v>338</v>
      </c>
      <c r="D62" t="s">
        <v>338</v>
      </c>
    </row>
    <row r="63" spans="3:4">
      <c r="C63" t="s">
        <v>338</v>
      </c>
      <c r="D63" t="s">
        <v>338</v>
      </c>
    </row>
    <row r="64" spans="3:4">
      <c r="C64" t="s">
        <v>338</v>
      </c>
      <c r="D64" t="s">
        <v>338</v>
      </c>
    </row>
    <row r="65" spans="3:4">
      <c r="C65" t="s">
        <v>338</v>
      </c>
      <c r="D65" t="s">
        <v>338</v>
      </c>
    </row>
  </sheetData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336</v>
      </c>
      <c r="D7" t="s">
        <v>336</v>
      </c>
    </row>
    <row r="8" spans="3:4">
      <c r="C8" t="s">
        <v>336</v>
      </c>
      <c r="D8" t="s">
        <v>336</v>
      </c>
    </row>
    <row r="9" spans="3:4">
      <c r="C9" t="s">
        <v>336</v>
      </c>
      <c r="D9" t="s">
        <v>336</v>
      </c>
    </row>
    <row r="10" spans="3:4">
      <c r="C10" t="s">
        <v>336</v>
      </c>
      <c r="D10" t="s">
        <v>336</v>
      </c>
    </row>
    <row r="11" spans="3:4">
      <c r="C11" t="s">
        <v>336</v>
      </c>
      <c r="D11" t="s">
        <v>336</v>
      </c>
    </row>
    <row r="12" spans="3:4">
      <c r="C12" t="s">
        <v>336</v>
      </c>
      <c r="D12" t="s">
        <v>336</v>
      </c>
    </row>
    <row r="13" spans="3:4">
      <c r="C13" t="s">
        <v>336</v>
      </c>
      <c r="D13" t="s">
        <v>336</v>
      </c>
    </row>
    <row r="14" spans="3:4">
      <c r="C14" t="s">
        <v>336</v>
      </c>
      <c r="D14" t="s">
        <v>336</v>
      </c>
    </row>
    <row r="15" spans="3:4">
      <c r="C15" t="s">
        <v>336</v>
      </c>
      <c r="D15" t="s">
        <v>336</v>
      </c>
    </row>
    <row r="16" spans="3:4">
      <c r="C16" t="s">
        <v>336</v>
      </c>
      <c r="D16" t="s">
        <v>336</v>
      </c>
    </row>
    <row r="17" spans="3:4">
      <c r="C17" t="s">
        <v>336</v>
      </c>
      <c r="D17" t="s">
        <v>336</v>
      </c>
    </row>
    <row r="18" spans="3:4">
      <c r="C18" t="s">
        <v>336</v>
      </c>
      <c r="D18" t="s">
        <v>336</v>
      </c>
    </row>
    <row r="19" spans="3:4">
      <c r="C19" t="s">
        <v>336</v>
      </c>
      <c r="D19" t="s">
        <v>336</v>
      </c>
    </row>
    <row r="20" spans="3:4">
      <c r="C20" t="s">
        <v>336</v>
      </c>
      <c r="D20" t="s">
        <v>336</v>
      </c>
    </row>
    <row r="21" spans="3:4">
      <c r="C21" t="s">
        <v>336</v>
      </c>
      <c r="D21" t="s">
        <v>336</v>
      </c>
    </row>
    <row r="22" spans="3:4">
      <c r="C22" t="s">
        <v>336</v>
      </c>
      <c r="D22" t="s">
        <v>336</v>
      </c>
    </row>
    <row r="23" spans="3:4">
      <c r="C23" t="s">
        <v>336</v>
      </c>
      <c r="D23" t="s">
        <v>336</v>
      </c>
    </row>
    <row r="24" spans="3:4">
      <c r="C24" t="s">
        <v>336</v>
      </c>
      <c r="D24" t="s">
        <v>336</v>
      </c>
    </row>
    <row r="25" spans="3:4">
      <c r="C25" t="s">
        <v>336</v>
      </c>
      <c r="D25" t="s">
        <v>336</v>
      </c>
    </row>
    <row r="26" spans="3:4">
      <c r="C26" t="s">
        <v>336</v>
      </c>
      <c r="D26" t="s">
        <v>336</v>
      </c>
    </row>
    <row r="27" spans="3:4">
      <c r="C27" t="s">
        <v>336</v>
      </c>
      <c r="D27" t="s">
        <v>336</v>
      </c>
    </row>
    <row r="28" spans="3:4">
      <c r="C28" t="s">
        <v>336</v>
      </c>
      <c r="D28" t="s">
        <v>336</v>
      </c>
    </row>
    <row r="29" spans="3:4">
      <c r="C29" t="s">
        <v>336</v>
      </c>
      <c r="D29" t="s">
        <v>336</v>
      </c>
    </row>
    <row r="30" spans="3:4">
      <c r="C30" t="s">
        <v>336</v>
      </c>
      <c r="D30" t="s">
        <v>336</v>
      </c>
    </row>
    <row r="31" spans="3:4">
      <c r="C31" t="s">
        <v>336</v>
      </c>
      <c r="D31" t="s">
        <v>336</v>
      </c>
    </row>
    <row r="32" spans="3:4">
      <c r="C32" t="s">
        <v>336</v>
      </c>
      <c r="D32" t="s">
        <v>336</v>
      </c>
    </row>
    <row r="33" spans="3:4">
      <c r="C33" t="s">
        <v>336</v>
      </c>
      <c r="D33" t="s">
        <v>336</v>
      </c>
    </row>
    <row r="34" spans="3:4">
      <c r="C34" t="s">
        <v>336</v>
      </c>
      <c r="D34" t="s">
        <v>336</v>
      </c>
    </row>
    <row r="35" spans="3:4">
      <c r="C35" t="s">
        <v>336</v>
      </c>
      <c r="D35" t="s">
        <v>336</v>
      </c>
    </row>
    <row r="36" spans="3:4">
      <c r="C36" t="s">
        <v>336</v>
      </c>
      <c r="D36" t="s">
        <v>336</v>
      </c>
    </row>
    <row r="37" spans="3:4">
      <c r="C37" t="s">
        <v>336</v>
      </c>
      <c r="D37" t="s">
        <v>336</v>
      </c>
    </row>
    <row r="38" spans="3:4">
      <c r="C38" t="s">
        <v>336</v>
      </c>
      <c r="D38" t="s">
        <v>336</v>
      </c>
    </row>
    <row r="39" spans="3:4">
      <c r="C39" t="s">
        <v>336</v>
      </c>
      <c r="D39" t="s">
        <v>336</v>
      </c>
    </row>
    <row r="40" spans="3:4">
      <c r="C40" t="s">
        <v>336</v>
      </c>
      <c r="D40" t="s">
        <v>336</v>
      </c>
    </row>
    <row r="41" spans="3:4">
      <c r="C41" t="s">
        <v>336</v>
      </c>
      <c r="D41" t="s">
        <v>336</v>
      </c>
    </row>
    <row r="42" spans="3:4">
      <c r="C42" t="s">
        <v>336</v>
      </c>
      <c r="D42" t="s">
        <v>336</v>
      </c>
    </row>
    <row r="43" spans="3:4">
      <c r="C43" t="s">
        <v>336</v>
      </c>
      <c r="D43" t="s">
        <v>336</v>
      </c>
    </row>
    <row r="44" spans="3:4">
      <c r="C44" t="s">
        <v>336</v>
      </c>
      <c r="D44" t="s">
        <v>336</v>
      </c>
    </row>
    <row r="45" spans="3:4">
      <c r="C45" t="s">
        <v>336</v>
      </c>
      <c r="D45" t="s">
        <v>336</v>
      </c>
    </row>
    <row r="46" spans="3:4">
      <c r="C46" t="s">
        <v>336</v>
      </c>
      <c r="D46" t="s">
        <v>336</v>
      </c>
    </row>
    <row r="47" spans="3:4">
      <c r="C47" t="s">
        <v>336</v>
      </c>
      <c r="D47" t="s">
        <v>336</v>
      </c>
    </row>
    <row r="48" spans="3:4">
      <c r="C48" t="s">
        <v>336</v>
      </c>
      <c r="D48" t="s">
        <v>336</v>
      </c>
    </row>
    <row r="49" spans="3:4">
      <c r="C49" t="s">
        <v>336</v>
      </c>
      <c r="D49" t="s">
        <v>336</v>
      </c>
    </row>
    <row r="50" spans="3:4">
      <c r="C50" t="s">
        <v>336</v>
      </c>
      <c r="D50" t="s">
        <v>336</v>
      </c>
    </row>
    <row r="51" spans="3:4">
      <c r="C51" t="s">
        <v>336</v>
      </c>
      <c r="D51" t="s">
        <v>336</v>
      </c>
    </row>
    <row r="52" spans="3:4">
      <c r="C52" t="s">
        <v>336</v>
      </c>
      <c r="D52" t="s">
        <v>336</v>
      </c>
    </row>
    <row r="53" spans="3:4">
      <c r="C53" t="s">
        <v>336</v>
      </c>
      <c r="D53" t="s">
        <v>336</v>
      </c>
    </row>
    <row r="54" spans="3:4">
      <c r="C54" t="s">
        <v>336</v>
      </c>
      <c r="D54" t="s">
        <v>336</v>
      </c>
    </row>
    <row r="55" spans="3:4">
      <c r="C55" t="s">
        <v>336</v>
      </c>
      <c r="D55" t="s">
        <v>336</v>
      </c>
    </row>
    <row r="56" spans="3:4">
      <c r="C56" t="s">
        <v>336</v>
      </c>
      <c r="D56" t="s">
        <v>336</v>
      </c>
    </row>
    <row r="57" spans="3:4">
      <c r="C57" t="s">
        <v>336</v>
      </c>
      <c r="D57" t="s">
        <v>336</v>
      </c>
    </row>
    <row r="58" spans="3:4">
      <c r="C58" t="s">
        <v>336</v>
      </c>
      <c r="D58" t="s">
        <v>336</v>
      </c>
    </row>
    <row r="59" spans="3:4">
      <c r="C59" t="s">
        <v>336</v>
      </c>
      <c r="D59" t="s">
        <v>336</v>
      </c>
    </row>
    <row r="60" spans="3:4">
      <c r="C60" t="s">
        <v>336</v>
      </c>
      <c r="D60" t="s">
        <v>336</v>
      </c>
    </row>
    <row r="61" spans="3:4">
      <c r="C61" t="s">
        <v>336</v>
      </c>
      <c r="D61" t="s">
        <v>336</v>
      </c>
    </row>
    <row r="62" spans="3:4">
      <c r="C62" t="s">
        <v>336</v>
      </c>
      <c r="D62" t="s">
        <v>336</v>
      </c>
    </row>
    <row r="63" spans="3:4">
      <c r="C63" t="s">
        <v>336</v>
      </c>
      <c r="D63" t="s">
        <v>336</v>
      </c>
    </row>
    <row r="64" spans="3:4">
      <c r="C64" t="s">
        <v>336</v>
      </c>
      <c r="D64" t="s">
        <v>336</v>
      </c>
    </row>
    <row r="65" spans="3:4">
      <c r="C65" t="s">
        <v>336</v>
      </c>
      <c r="D65" t="s">
        <v>336</v>
      </c>
    </row>
  </sheetData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334</v>
      </c>
      <c r="D7" t="s">
        <v>334</v>
      </c>
    </row>
    <row r="8" spans="3:4">
      <c r="C8" t="s">
        <v>334</v>
      </c>
      <c r="D8" t="s">
        <v>334</v>
      </c>
    </row>
    <row r="9" spans="3:4">
      <c r="C9" t="s">
        <v>334</v>
      </c>
      <c r="D9" t="s">
        <v>334</v>
      </c>
    </row>
    <row r="10" spans="3:4">
      <c r="C10" t="s">
        <v>334</v>
      </c>
      <c r="D10" t="s">
        <v>334</v>
      </c>
    </row>
    <row r="11" spans="3:4">
      <c r="C11" t="s">
        <v>334</v>
      </c>
      <c r="D11" t="s">
        <v>334</v>
      </c>
    </row>
    <row r="12" spans="3:4">
      <c r="C12" t="s">
        <v>334</v>
      </c>
      <c r="D12" t="s">
        <v>334</v>
      </c>
    </row>
    <row r="13" spans="3:4">
      <c r="C13" t="s">
        <v>334</v>
      </c>
      <c r="D13" t="s">
        <v>334</v>
      </c>
    </row>
    <row r="14" spans="3:4">
      <c r="C14" t="s">
        <v>334</v>
      </c>
      <c r="D14" t="s">
        <v>334</v>
      </c>
    </row>
    <row r="15" spans="3:4">
      <c r="C15" t="s">
        <v>334</v>
      </c>
      <c r="D15" t="s">
        <v>334</v>
      </c>
    </row>
    <row r="16" spans="3:4">
      <c r="C16" t="s">
        <v>334</v>
      </c>
      <c r="D16" t="s">
        <v>334</v>
      </c>
    </row>
    <row r="17" spans="3:4">
      <c r="C17" t="s">
        <v>334</v>
      </c>
      <c r="D17" t="s">
        <v>334</v>
      </c>
    </row>
    <row r="18" spans="3:4">
      <c r="C18" t="s">
        <v>334</v>
      </c>
      <c r="D18" t="s">
        <v>334</v>
      </c>
    </row>
    <row r="19" spans="3:4">
      <c r="C19" t="s">
        <v>334</v>
      </c>
      <c r="D19" t="s">
        <v>334</v>
      </c>
    </row>
    <row r="20" spans="3:4">
      <c r="C20" t="s">
        <v>334</v>
      </c>
      <c r="D20" t="s">
        <v>334</v>
      </c>
    </row>
    <row r="21" spans="3:4">
      <c r="C21" t="s">
        <v>334</v>
      </c>
      <c r="D21" t="s">
        <v>334</v>
      </c>
    </row>
    <row r="22" spans="3:4">
      <c r="C22" t="s">
        <v>334</v>
      </c>
      <c r="D22" t="s">
        <v>334</v>
      </c>
    </row>
    <row r="23" spans="3:4">
      <c r="C23" t="s">
        <v>334</v>
      </c>
      <c r="D23" t="s">
        <v>334</v>
      </c>
    </row>
    <row r="24" spans="3:4">
      <c r="C24" t="s">
        <v>334</v>
      </c>
      <c r="D24" t="s">
        <v>334</v>
      </c>
    </row>
    <row r="25" spans="3:4">
      <c r="C25" t="s">
        <v>334</v>
      </c>
      <c r="D25" t="s">
        <v>334</v>
      </c>
    </row>
    <row r="26" spans="3:4">
      <c r="C26" t="s">
        <v>334</v>
      </c>
      <c r="D26" t="s">
        <v>334</v>
      </c>
    </row>
    <row r="27" spans="3:4">
      <c r="C27" t="s">
        <v>334</v>
      </c>
      <c r="D27" t="s">
        <v>334</v>
      </c>
    </row>
    <row r="28" spans="3:4">
      <c r="C28" t="s">
        <v>334</v>
      </c>
      <c r="D28" t="s">
        <v>334</v>
      </c>
    </row>
    <row r="29" spans="3:4">
      <c r="C29" t="s">
        <v>334</v>
      </c>
      <c r="D29" t="s">
        <v>334</v>
      </c>
    </row>
    <row r="30" spans="3:4">
      <c r="C30" t="s">
        <v>334</v>
      </c>
      <c r="D30" t="s">
        <v>334</v>
      </c>
    </row>
    <row r="31" spans="3:4">
      <c r="C31" t="s">
        <v>334</v>
      </c>
      <c r="D31" t="s">
        <v>334</v>
      </c>
    </row>
    <row r="32" spans="3:4">
      <c r="C32" t="s">
        <v>334</v>
      </c>
      <c r="D32" t="s">
        <v>334</v>
      </c>
    </row>
    <row r="33" spans="3:4">
      <c r="C33" t="s">
        <v>334</v>
      </c>
      <c r="D33" t="s">
        <v>334</v>
      </c>
    </row>
    <row r="34" spans="3:4">
      <c r="C34" t="s">
        <v>334</v>
      </c>
      <c r="D34" t="s">
        <v>334</v>
      </c>
    </row>
    <row r="35" spans="3:4">
      <c r="C35" t="s">
        <v>334</v>
      </c>
      <c r="D35" t="s">
        <v>334</v>
      </c>
    </row>
    <row r="36" spans="3:4">
      <c r="C36" t="s">
        <v>334</v>
      </c>
      <c r="D36" t="s">
        <v>334</v>
      </c>
    </row>
    <row r="37" spans="3:4">
      <c r="C37" t="s">
        <v>334</v>
      </c>
      <c r="D37" t="s">
        <v>334</v>
      </c>
    </row>
    <row r="38" spans="3:4">
      <c r="C38" t="s">
        <v>334</v>
      </c>
      <c r="D38" t="s">
        <v>334</v>
      </c>
    </row>
    <row r="39" spans="3:4">
      <c r="C39" t="s">
        <v>334</v>
      </c>
      <c r="D39" t="s">
        <v>334</v>
      </c>
    </row>
    <row r="40" spans="3:4">
      <c r="C40" t="s">
        <v>334</v>
      </c>
      <c r="D40" t="s">
        <v>334</v>
      </c>
    </row>
    <row r="41" spans="3:4">
      <c r="C41" t="s">
        <v>334</v>
      </c>
      <c r="D41" t="s">
        <v>334</v>
      </c>
    </row>
    <row r="42" spans="3:4">
      <c r="C42" t="s">
        <v>334</v>
      </c>
      <c r="D42" t="s">
        <v>334</v>
      </c>
    </row>
    <row r="43" spans="3:4">
      <c r="C43" t="s">
        <v>334</v>
      </c>
      <c r="D43" t="s">
        <v>334</v>
      </c>
    </row>
    <row r="44" spans="3:4">
      <c r="C44" t="s">
        <v>334</v>
      </c>
      <c r="D44" t="s">
        <v>334</v>
      </c>
    </row>
    <row r="45" spans="3:4">
      <c r="C45" t="s">
        <v>334</v>
      </c>
      <c r="D45" t="s">
        <v>334</v>
      </c>
    </row>
    <row r="46" spans="3:4">
      <c r="C46" t="s">
        <v>334</v>
      </c>
      <c r="D46" t="s">
        <v>334</v>
      </c>
    </row>
    <row r="47" spans="3:4">
      <c r="C47" t="s">
        <v>334</v>
      </c>
      <c r="D47" t="s">
        <v>334</v>
      </c>
    </row>
    <row r="48" spans="3:4">
      <c r="C48" t="s">
        <v>334</v>
      </c>
      <c r="D48" t="s">
        <v>334</v>
      </c>
    </row>
    <row r="49" spans="3:4">
      <c r="C49" t="s">
        <v>334</v>
      </c>
      <c r="D49" t="s">
        <v>334</v>
      </c>
    </row>
    <row r="50" spans="3:4">
      <c r="C50" t="s">
        <v>334</v>
      </c>
      <c r="D50" t="s">
        <v>334</v>
      </c>
    </row>
    <row r="51" spans="3:4">
      <c r="C51" t="s">
        <v>334</v>
      </c>
      <c r="D51" t="s">
        <v>334</v>
      </c>
    </row>
    <row r="52" spans="3:4">
      <c r="C52" t="s">
        <v>334</v>
      </c>
      <c r="D52" t="s">
        <v>334</v>
      </c>
    </row>
    <row r="53" spans="3:4">
      <c r="C53" t="s">
        <v>334</v>
      </c>
      <c r="D53" t="s">
        <v>334</v>
      </c>
    </row>
    <row r="54" spans="3:4">
      <c r="C54" t="s">
        <v>334</v>
      </c>
      <c r="D54" t="s">
        <v>334</v>
      </c>
    </row>
    <row r="55" spans="3:4">
      <c r="C55" t="s">
        <v>334</v>
      </c>
      <c r="D55" t="s">
        <v>334</v>
      </c>
    </row>
    <row r="56" spans="3:4">
      <c r="C56" t="s">
        <v>334</v>
      </c>
      <c r="D56" t="s">
        <v>334</v>
      </c>
    </row>
    <row r="57" spans="3:4">
      <c r="C57" t="s">
        <v>334</v>
      </c>
      <c r="D57" t="s">
        <v>334</v>
      </c>
    </row>
    <row r="58" spans="3:4">
      <c r="C58" t="s">
        <v>334</v>
      </c>
      <c r="D58" t="s">
        <v>334</v>
      </c>
    </row>
    <row r="59" spans="3:4">
      <c r="C59" t="s">
        <v>334</v>
      </c>
      <c r="D59" t="s">
        <v>334</v>
      </c>
    </row>
    <row r="60" spans="3:4">
      <c r="C60" t="s">
        <v>334</v>
      </c>
      <c r="D60" t="s">
        <v>334</v>
      </c>
    </row>
    <row r="61" spans="3:4">
      <c r="C61" t="s">
        <v>334</v>
      </c>
      <c r="D61" t="s">
        <v>334</v>
      </c>
    </row>
    <row r="62" spans="3:4">
      <c r="C62" t="s">
        <v>334</v>
      </c>
      <c r="D62" t="s">
        <v>334</v>
      </c>
    </row>
    <row r="63" spans="3:4">
      <c r="C63" t="s">
        <v>334</v>
      </c>
      <c r="D63" t="s">
        <v>334</v>
      </c>
    </row>
    <row r="64" spans="3:4">
      <c r="C64" t="s">
        <v>334</v>
      </c>
      <c r="D64" t="s">
        <v>334</v>
      </c>
    </row>
    <row r="65" spans="3:4">
      <c r="C65" t="s">
        <v>334</v>
      </c>
      <c r="D65" t="s">
        <v>334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E43" sqref="E43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248" width="9.140625" customWidth="1"/>
    <col min="249" max="249" width="38.85546875" customWidth="1"/>
    <col min="250" max="250" width="7.85546875" customWidth="1"/>
    <col min="251" max="251" width="14.85546875" customWidth="1"/>
    <col min="252" max="252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235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3958507.7199999997</v>
      </c>
      <c r="D8" s="11">
        <f>D9+D11+D14+D15</f>
        <v>3891749.7199999997</v>
      </c>
    </row>
    <row r="9" spans="1:4" ht="30">
      <c r="A9" s="12" t="s">
        <v>90</v>
      </c>
      <c r="B9" s="13" t="s">
        <v>91</v>
      </c>
      <c r="C9" s="14">
        <f>3382353.06</f>
        <v>3382353.06</v>
      </c>
      <c r="D9" s="15">
        <f>3245674.94</f>
        <v>3245674.94</v>
      </c>
    </row>
    <row r="10" spans="1:4">
      <c r="A10" s="16" t="s">
        <v>92</v>
      </c>
      <c r="B10" s="17" t="s">
        <v>93</v>
      </c>
      <c r="C10" s="18">
        <f>2107383.0875576</f>
        <v>2107383.0875575999</v>
      </c>
      <c r="D10" s="19">
        <f>_25h_E12</f>
        <v>2107383.0875575999</v>
      </c>
    </row>
    <row r="11" spans="1:4" ht="23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576154.65999999992</v>
      </c>
      <c r="D15" s="15">
        <f>SUM(D16:D24)</f>
        <v>646074.78</v>
      </c>
    </row>
    <row r="16" spans="1:4">
      <c r="A16" s="22" t="s">
        <v>103</v>
      </c>
      <c r="B16" s="17" t="s">
        <v>104</v>
      </c>
      <c r="C16" s="111">
        <v>421356.12</v>
      </c>
      <c r="D16" s="113">
        <v>470090.18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83529.84</f>
        <v>83529.84</v>
      </c>
      <c r="D18" s="19">
        <f>104711.12</f>
        <v>104711.12</v>
      </c>
    </row>
    <row r="19" spans="1:4">
      <c r="A19" s="22" t="s">
        <v>109</v>
      </c>
      <c r="B19" s="17" t="s">
        <v>110</v>
      </c>
      <c r="C19" s="18">
        <f>12955.9</f>
        <v>12955.9</v>
      </c>
      <c r="D19" s="19">
        <f>12964.6</f>
        <v>12964.6</v>
      </c>
    </row>
    <row r="20" spans="1:4">
      <c r="A20" s="22" t="s">
        <v>111</v>
      </c>
      <c r="B20" s="17" t="s">
        <v>112</v>
      </c>
      <c r="C20" s="18">
        <f>8950.44</f>
        <v>8950.44</v>
      </c>
      <c r="D20" s="19">
        <f>8946.52</f>
        <v>8946.52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49362.36</f>
        <v>49362.36</v>
      </c>
      <c r="D22" s="19">
        <f>49362.36</f>
        <v>49362.36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2101715.77</v>
      </c>
      <c r="D25" s="15">
        <f>D26+D27+D30+D28+D29+D31</f>
        <v>1968805.8499999999</v>
      </c>
    </row>
    <row r="26" spans="1:4" ht="19.5" customHeight="1">
      <c r="A26" s="24" t="s">
        <v>123</v>
      </c>
      <c r="B26" s="20" t="s">
        <v>124</v>
      </c>
      <c r="C26" s="18">
        <f>884290.92</f>
        <v>884290.92</v>
      </c>
      <c r="D26" s="19">
        <f>884290.92</f>
        <v>884290.92</v>
      </c>
    </row>
    <row r="27" spans="1:4" ht="45">
      <c r="A27" s="24" t="s">
        <v>125</v>
      </c>
      <c r="B27" s="20" t="s">
        <v>126</v>
      </c>
      <c r="C27" s="18">
        <f>55437</f>
        <v>55437</v>
      </c>
      <c r="D27" s="19">
        <f>55505.83</f>
        <v>55505.83</v>
      </c>
    </row>
    <row r="28" spans="1:4" ht="31.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71569.8</f>
        <v>71569.8</v>
      </c>
      <c r="D29" s="19">
        <f>70944.13</f>
        <v>70944.13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681962.05</v>
      </c>
      <c r="D31" s="15">
        <f>SUM(D32:D39)</f>
        <v>549608.97</v>
      </c>
    </row>
    <row r="32" spans="1:4" ht="19.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93169.48</f>
        <v>93169.48</v>
      </c>
      <c r="D33" s="19">
        <f>87921.37</f>
        <v>87921.37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259260.16</f>
        <v>259260.16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45">
      <c r="A39" s="24" t="s">
        <v>487</v>
      </c>
      <c r="B39" s="17" t="s">
        <v>150</v>
      </c>
      <c r="C39" s="18">
        <v>412097.41</v>
      </c>
      <c r="D39" s="19">
        <v>156480.32000000001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v>59061.120000000003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57895.630000000005</v>
      </c>
      <c r="D45" s="27">
        <f>SUM(D46:D48)</f>
        <v>62369.429999999993</v>
      </c>
    </row>
    <row r="46" spans="1:4">
      <c r="A46" s="21" t="s">
        <v>163</v>
      </c>
      <c r="B46" s="17" t="s">
        <v>164</v>
      </c>
      <c r="C46" s="18">
        <f>41474.76</f>
        <v>41474.76</v>
      </c>
      <c r="D46" s="19">
        <f>45948.56</f>
        <v>45948.56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v>16420.87</v>
      </c>
      <c r="D48" s="19">
        <v>16420.87</v>
      </c>
    </row>
    <row r="49" spans="1:4">
      <c r="A49" s="8" t="s">
        <v>440</v>
      </c>
      <c r="B49" s="28" t="s">
        <v>168</v>
      </c>
      <c r="C49" s="29">
        <f>483797.28</f>
        <v>483797.28</v>
      </c>
      <c r="D49" s="30">
        <f>619930.28</f>
        <v>619930.28</v>
      </c>
    </row>
    <row r="50" spans="1:4">
      <c r="A50" s="8" t="s">
        <v>169</v>
      </c>
      <c r="B50" s="9" t="s">
        <v>170</v>
      </c>
      <c r="C50" s="14">
        <f>C8+C25+C40+C41+C42+C43+C44+C45+C49+C51+C52</f>
        <v>6601916.4000000004</v>
      </c>
      <c r="D50" s="15">
        <f>D8+D25+D40+D41+D42+D43+D44+D45+D49+D51+D52</f>
        <v>6601916.3999999994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3978309.66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3738906.66</f>
        <v>3738906.66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239403</f>
        <v>239403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2024754</f>
        <v>2024754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6003063.6600000001</v>
      </c>
      <c r="D59" s="27">
        <f>D54+D57+D58</f>
        <v>0</v>
      </c>
    </row>
    <row r="60" spans="1:4" ht="25.5">
      <c r="A60" s="33" t="s">
        <v>188</v>
      </c>
      <c r="B60" s="9"/>
      <c r="C60" s="34">
        <v>24506</v>
      </c>
      <c r="D60" s="35">
        <v>24506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332</v>
      </c>
      <c r="D7" t="s">
        <v>332</v>
      </c>
    </row>
    <row r="8" spans="3:4">
      <c r="C8" t="s">
        <v>332</v>
      </c>
      <c r="D8" t="s">
        <v>332</v>
      </c>
    </row>
    <row r="9" spans="3:4">
      <c r="C9" t="s">
        <v>332</v>
      </c>
      <c r="D9" t="s">
        <v>332</v>
      </c>
    </row>
    <row r="10" spans="3:4">
      <c r="C10" t="s">
        <v>332</v>
      </c>
      <c r="D10" t="s">
        <v>332</v>
      </c>
    </row>
    <row r="11" spans="3:4">
      <c r="C11" t="s">
        <v>332</v>
      </c>
      <c r="D11" t="s">
        <v>332</v>
      </c>
    </row>
    <row r="12" spans="3:4">
      <c r="C12" t="s">
        <v>332</v>
      </c>
      <c r="D12" t="s">
        <v>332</v>
      </c>
    </row>
    <row r="13" spans="3:4">
      <c r="C13" t="s">
        <v>332</v>
      </c>
      <c r="D13" t="s">
        <v>332</v>
      </c>
    </row>
    <row r="14" spans="3:4">
      <c r="C14" t="s">
        <v>332</v>
      </c>
      <c r="D14" t="s">
        <v>332</v>
      </c>
    </row>
    <row r="15" spans="3:4">
      <c r="C15" t="s">
        <v>332</v>
      </c>
      <c r="D15" t="s">
        <v>332</v>
      </c>
    </row>
    <row r="16" spans="3:4">
      <c r="C16" t="s">
        <v>332</v>
      </c>
      <c r="D16" t="s">
        <v>332</v>
      </c>
    </row>
    <row r="17" spans="3:4">
      <c r="C17" t="s">
        <v>332</v>
      </c>
      <c r="D17" t="s">
        <v>332</v>
      </c>
    </row>
    <row r="18" spans="3:4">
      <c r="C18" t="s">
        <v>332</v>
      </c>
      <c r="D18" t="s">
        <v>332</v>
      </c>
    </row>
    <row r="19" spans="3:4">
      <c r="C19" t="s">
        <v>332</v>
      </c>
      <c r="D19" t="s">
        <v>332</v>
      </c>
    </row>
    <row r="20" spans="3:4">
      <c r="C20" t="s">
        <v>332</v>
      </c>
      <c r="D20" t="s">
        <v>332</v>
      </c>
    </row>
    <row r="21" spans="3:4">
      <c r="C21" t="s">
        <v>332</v>
      </c>
      <c r="D21" t="s">
        <v>332</v>
      </c>
    </row>
    <row r="22" spans="3:4">
      <c r="C22" t="s">
        <v>332</v>
      </c>
      <c r="D22" t="s">
        <v>332</v>
      </c>
    </row>
    <row r="23" spans="3:4">
      <c r="C23" t="s">
        <v>332</v>
      </c>
      <c r="D23" t="s">
        <v>332</v>
      </c>
    </row>
    <row r="24" spans="3:4">
      <c r="C24" t="s">
        <v>332</v>
      </c>
      <c r="D24" t="s">
        <v>332</v>
      </c>
    </row>
    <row r="25" spans="3:4">
      <c r="C25" t="s">
        <v>332</v>
      </c>
      <c r="D25" t="s">
        <v>332</v>
      </c>
    </row>
    <row r="26" spans="3:4">
      <c r="C26" t="s">
        <v>332</v>
      </c>
      <c r="D26" t="s">
        <v>332</v>
      </c>
    </row>
    <row r="27" spans="3:4">
      <c r="C27" t="s">
        <v>332</v>
      </c>
      <c r="D27" t="s">
        <v>332</v>
      </c>
    </row>
    <row r="28" spans="3:4">
      <c r="C28" t="s">
        <v>332</v>
      </c>
      <c r="D28" t="s">
        <v>332</v>
      </c>
    </row>
    <row r="29" spans="3:4">
      <c r="C29" t="s">
        <v>332</v>
      </c>
      <c r="D29" t="s">
        <v>332</v>
      </c>
    </row>
    <row r="30" spans="3:4">
      <c r="C30" t="s">
        <v>332</v>
      </c>
      <c r="D30" t="s">
        <v>332</v>
      </c>
    </row>
    <row r="31" spans="3:4">
      <c r="C31" t="s">
        <v>332</v>
      </c>
      <c r="D31" t="s">
        <v>332</v>
      </c>
    </row>
    <row r="32" spans="3:4">
      <c r="C32" t="s">
        <v>332</v>
      </c>
      <c r="D32" t="s">
        <v>332</v>
      </c>
    </row>
    <row r="33" spans="3:4">
      <c r="C33" t="s">
        <v>332</v>
      </c>
      <c r="D33" t="s">
        <v>332</v>
      </c>
    </row>
    <row r="34" spans="3:4">
      <c r="C34" t="s">
        <v>332</v>
      </c>
      <c r="D34" t="s">
        <v>332</v>
      </c>
    </row>
    <row r="35" spans="3:4">
      <c r="C35" t="s">
        <v>332</v>
      </c>
      <c r="D35" t="s">
        <v>332</v>
      </c>
    </row>
    <row r="36" spans="3:4">
      <c r="C36" t="s">
        <v>332</v>
      </c>
      <c r="D36" t="s">
        <v>332</v>
      </c>
    </row>
    <row r="37" spans="3:4">
      <c r="C37" t="s">
        <v>332</v>
      </c>
      <c r="D37" t="s">
        <v>332</v>
      </c>
    </row>
    <row r="38" spans="3:4">
      <c r="C38" t="s">
        <v>332</v>
      </c>
      <c r="D38" t="s">
        <v>332</v>
      </c>
    </row>
    <row r="39" spans="3:4">
      <c r="C39" t="s">
        <v>332</v>
      </c>
      <c r="D39" t="s">
        <v>332</v>
      </c>
    </row>
    <row r="40" spans="3:4">
      <c r="C40" t="s">
        <v>332</v>
      </c>
      <c r="D40" t="s">
        <v>332</v>
      </c>
    </row>
    <row r="41" spans="3:4">
      <c r="C41" t="s">
        <v>332</v>
      </c>
      <c r="D41" t="s">
        <v>332</v>
      </c>
    </row>
    <row r="42" spans="3:4">
      <c r="C42" t="s">
        <v>332</v>
      </c>
      <c r="D42" t="s">
        <v>332</v>
      </c>
    </row>
    <row r="43" spans="3:4">
      <c r="C43" t="s">
        <v>332</v>
      </c>
      <c r="D43" t="s">
        <v>332</v>
      </c>
    </row>
    <row r="44" spans="3:4">
      <c r="C44" t="s">
        <v>332</v>
      </c>
      <c r="D44" t="s">
        <v>332</v>
      </c>
    </row>
    <row r="45" spans="3:4">
      <c r="C45" t="s">
        <v>332</v>
      </c>
      <c r="D45" t="s">
        <v>332</v>
      </c>
    </row>
    <row r="46" spans="3:4">
      <c r="C46" t="s">
        <v>332</v>
      </c>
      <c r="D46" t="s">
        <v>332</v>
      </c>
    </row>
    <row r="47" spans="3:4">
      <c r="C47" t="s">
        <v>332</v>
      </c>
      <c r="D47" t="s">
        <v>332</v>
      </c>
    </row>
    <row r="48" spans="3:4">
      <c r="C48" t="s">
        <v>332</v>
      </c>
      <c r="D48" t="s">
        <v>332</v>
      </c>
    </row>
    <row r="49" spans="3:4">
      <c r="C49" t="s">
        <v>332</v>
      </c>
      <c r="D49" t="s">
        <v>332</v>
      </c>
    </row>
    <row r="50" spans="3:4">
      <c r="C50" t="s">
        <v>332</v>
      </c>
      <c r="D50" t="s">
        <v>332</v>
      </c>
    </row>
    <row r="51" spans="3:4">
      <c r="C51" t="s">
        <v>332</v>
      </c>
      <c r="D51" t="s">
        <v>332</v>
      </c>
    </row>
    <row r="52" spans="3:4">
      <c r="C52" t="s">
        <v>332</v>
      </c>
      <c r="D52" t="s">
        <v>332</v>
      </c>
    </row>
    <row r="53" spans="3:4">
      <c r="C53" t="s">
        <v>332</v>
      </c>
      <c r="D53" t="s">
        <v>332</v>
      </c>
    </row>
    <row r="54" spans="3:4">
      <c r="C54" t="s">
        <v>332</v>
      </c>
      <c r="D54" t="s">
        <v>332</v>
      </c>
    </row>
    <row r="55" spans="3:4">
      <c r="C55" t="s">
        <v>332</v>
      </c>
      <c r="D55" t="s">
        <v>332</v>
      </c>
    </row>
    <row r="56" spans="3:4">
      <c r="C56" t="s">
        <v>332</v>
      </c>
      <c r="D56" t="s">
        <v>332</v>
      </c>
    </row>
    <row r="57" spans="3:4">
      <c r="C57" t="s">
        <v>332</v>
      </c>
      <c r="D57" t="s">
        <v>332</v>
      </c>
    </row>
    <row r="58" spans="3:4">
      <c r="C58" t="s">
        <v>332</v>
      </c>
      <c r="D58" t="s">
        <v>332</v>
      </c>
    </row>
    <row r="59" spans="3:4">
      <c r="C59" t="s">
        <v>332</v>
      </c>
      <c r="D59" t="s">
        <v>332</v>
      </c>
    </row>
    <row r="60" spans="3:4">
      <c r="C60" t="s">
        <v>332</v>
      </c>
      <c r="D60" t="s">
        <v>332</v>
      </c>
    </row>
    <row r="61" spans="3:4">
      <c r="C61" t="s">
        <v>332</v>
      </c>
      <c r="D61" t="s">
        <v>332</v>
      </c>
    </row>
    <row r="62" spans="3:4">
      <c r="C62" t="s">
        <v>332</v>
      </c>
      <c r="D62" t="s">
        <v>332</v>
      </c>
    </row>
    <row r="63" spans="3:4">
      <c r="C63" t="s">
        <v>332</v>
      </c>
      <c r="D63" t="s">
        <v>332</v>
      </c>
    </row>
    <row r="64" spans="3:4">
      <c r="C64" t="s">
        <v>332</v>
      </c>
      <c r="D64" t="s">
        <v>332</v>
      </c>
    </row>
    <row r="65" spans="3:4">
      <c r="C65" t="s">
        <v>332</v>
      </c>
      <c r="D65" t="s">
        <v>332</v>
      </c>
    </row>
  </sheetData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331</v>
      </c>
      <c r="D7" t="s">
        <v>331</v>
      </c>
    </row>
    <row r="8" spans="3:4">
      <c r="C8" t="s">
        <v>331</v>
      </c>
      <c r="D8" t="s">
        <v>331</v>
      </c>
    </row>
    <row r="9" spans="3:4">
      <c r="C9" t="s">
        <v>331</v>
      </c>
      <c r="D9" t="s">
        <v>331</v>
      </c>
    </row>
    <row r="10" spans="3:4">
      <c r="C10" t="s">
        <v>331</v>
      </c>
      <c r="D10" t="s">
        <v>331</v>
      </c>
    </row>
    <row r="11" spans="3:4">
      <c r="C11" t="s">
        <v>331</v>
      </c>
      <c r="D11" t="s">
        <v>331</v>
      </c>
    </row>
    <row r="12" spans="3:4">
      <c r="C12" t="s">
        <v>331</v>
      </c>
      <c r="D12" t="s">
        <v>331</v>
      </c>
    </row>
    <row r="13" spans="3:4">
      <c r="C13" t="s">
        <v>331</v>
      </c>
      <c r="D13" t="s">
        <v>331</v>
      </c>
    </row>
    <row r="14" spans="3:4">
      <c r="C14" t="s">
        <v>331</v>
      </c>
      <c r="D14" t="s">
        <v>331</v>
      </c>
    </row>
    <row r="15" spans="3:4">
      <c r="C15" t="s">
        <v>331</v>
      </c>
      <c r="D15" t="s">
        <v>331</v>
      </c>
    </row>
    <row r="16" spans="3:4">
      <c r="C16" t="s">
        <v>331</v>
      </c>
      <c r="D16" t="s">
        <v>331</v>
      </c>
    </row>
    <row r="17" spans="3:4">
      <c r="C17" t="s">
        <v>331</v>
      </c>
      <c r="D17" t="s">
        <v>331</v>
      </c>
    </row>
    <row r="18" spans="3:4">
      <c r="C18" t="s">
        <v>331</v>
      </c>
      <c r="D18" t="s">
        <v>331</v>
      </c>
    </row>
    <row r="19" spans="3:4">
      <c r="C19" t="s">
        <v>331</v>
      </c>
      <c r="D19" t="s">
        <v>331</v>
      </c>
    </row>
    <row r="20" spans="3:4">
      <c r="C20" t="s">
        <v>331</v>
      </c>
      <c r="D20" t="s">
        <v>331</v>
      </c>
    </row>
    <row r="21" spans="3:4">
      <c r="C21" t="s">
        <v>331</v>
      </c>
      <c r="D21" t="s">
        <v>331</v>
      </c>
    </row>
    <row r="22" spans="3:4">
      <c r="C22" t="s">
        <v>331</v>
      </c>
      <c r="D22" t="s">
        <v>331</v>
      </c>
    </row>
    <row r="23" spans="3:4">
      <c r="C23" t="s">
        <v>331</v>
      </c>
      <c r="D23" t="s">
        <v>331</v>
      </c>
    </row>
    <row r="24" spans="3:4">
      <c r="C24" t="s">
        <v>331</v>
      </c>
      <c r="D24" t="s">
        <v>331</v>
      </c>
    </row>
    <row r="25" spans="3:4">
      <c r="C25" t="s">
        <v>331</v>
      </c>
      <c r="D25" t="s">
        <v>331</v>
      </c>
    </row>
    <row r="26" spans="3:4">
      <c r="C26" t="s">
        <v>331</v>
      </c>
      <c r="D26" t="s">
        <v>331</v>
      </c>
    </row>
    <row r="27" spans="3:4">
      <c r="C27" t="s">
        <v>331</v>
      </c>
      <c r="D27" t="s">
        <v>331</v>
      </c>
    </row>
    <row r="28" spans="3:4">
      <c r="C28" t="s">
        <v>331</v>
      </c>
      <c r="D28" t="s">
        <v>331</v>
      </c>
    </row>
    <row r="29" spans="3:4">
      <c r="C29" t="s">
        <v>331</v>
      </c>
      <c r="D29" t="s">
        <v>331</v>
      </c>
    </row>
    <row r="30" spans="3:4">
      <c r="C30" t="s">
        <v>331</v>
      </c>
      <c r="D30" t="s">
        <v>331</v>
      </c>
    </row>
    <row r="31" spans="3:4">
      <c r="C31" t="s">
        <v>331</v>
      </c>
      <c r="D31" t="s">
        <v>331</v>
      </c>
    </row>
    <row r="32" spans="3:4">
      <c r="C32" t="s">
        <v>331</v>
      </c>
      <c r="D32" t="s">
        <v>331</v>
      </c>
    </row>
    <row r="33" spans="3:4">
      <c r="C33" t="s">
        <v>331</v>
      </c>
      <c r="D33" t="s">
        <v>331</v>
      </c>
    </row>
    <row r="34" spans="3:4">
      <c r="C34" t="s">
        <v>331</v>
      </c>
      <c r="D34" t="s">
        <v>331</v>
      </c>
    </row>
    <row r="35" spans="3:4">
      <c r="C35" t="s">
        <v>331</v>
      </c>
      <c r="D35" t="s">
        <v>331</v>
      </c>
    </row>
    <row r="36" spans="3:4">
      <c r="C36" t="s">
        <v>331</v>
      </c>
      <c r="D36" t="s">
        <v>331</v>
      </c>
    </row>
    <row r="37" spans="3:4">
      <c r="C37" t="s">
        <v>331</v>
      </c>
      <c r="D37" t="s">
        <v>331</v>
      </c>
    </row>
    <row r="38" spans="3:4">
      <c r="C38" t="s">
        <v>331</v>
      </c>
      <c r="D38" t="s">
        <v>331</v>
      </c>
    </row>
    <row r="39" spans="3:4">
      <c r="C39" t="s">
        <v>331</v>
      </c>
      <c r="D39" t="s">
        <v>331</v>
      </c>
    </row>
    <row r="40" spans="3:4">
      <c r="C40" t="s">
        <v>331</v>
      </c>
      <c r="D40" t="s">
        <v>331</v>
      </c>
    </row>
    <row r="41" spans="3:4">
      <c r="C41" t="s">
        <v>331</v>
      </c>
      <c r="D41" t="s">
        <v>331</v>
      </c>
    </row>
    <row r="42" spans="3:4">
      <c r="C42" t="s">
        <v>331</v>
      </c>
      <c r="D42" t="s">
        <v>331</v>
      </c>
    </row>
    <row r="43" spans="3:4">
      <c r="C43" t="s">
        <v>331</v>
      </c>
      <c r="D43" t="s">
        <v>331</v>
      </c>
    </row>
    <row r="44" spans="3:4">
      <c r="C44" t="s">
        <v>331</v>
      </c>
      <c r="D44" t="s">
        <v>331</v>
      </c>
    </row>
    <row r="45" spans="3:4">
      <c r="C45" t="s">
        <v>331</v>
      </c>
      <c r="D45" t="s">
        <v>331</v>
      </c>
    </row>
    <row r="46" spans="3:4">
      <c r="C46" t="s">
        <v>331</v>
      </c>
      <c r="D46" t="s">
        <v>331</v>
      </c>
    </row>
    <row r="47" spans="3:4">
      <c r="C47" t="s">
        <v>331</v>
      </c>
      <c r="D47" t="s">
        <v>331</v>
      </c>
    </row>
    <row r="48" spans="3:4">
      <c r="C48" t="s">
        <v>331</v>
      </c>
      <c r="D48" t="s">
        <v>331</v>
      </c>
    </row>
    <row r="49" spans="3:4">
      <c r="C49" t="s">
        <v>331</v>
      </c>
      <c r="D49" t="s">
        <v>331</v>
      </c>
    </row>
    <row r="50" spans="3:4">
      <c r="C50" t="s">
        <v>331</v>
      </c>
      <c r="D50" t="s">
        <v>331</v>
      </c>
    </row>
    <row r="51" spans="3:4">
      <c r="C51" t="s">
        <v>331</v>
      </c>
      <c r="D51" t="s">
        <v>331</v>
      </c>
    </row>
    <row r="52" spans="3:4">
      <c r="C52" t="s">
        <v>331</v>
      </c>
      <c r="D52" t="s">
        <v>331</v>
      </c>
    </row>
    <row r="53" spans="3:4">
      <c r="C53" t="s">
        <v>331</v>
      </c>
      <c r="D53" t="s">
        <v>331</v>
      </c>
    </row>
    <row r="54" spans="3:4">
      <c r="C54" t="s">
        <v>331</v>
      </c>
      <c r="D54" t="s">
        <v>331</v>
      </c>
    </row>
    <row r="55" spans="3:4">
      <c r="C55" t="s">
        <v>331</v>
      </c>
      <c r="D55" t="s">
        <v>331</v>
      </c>
    </row>
    <row r="56" spans="3:4">
      <c r="C56" t="s">
        <v>331</v>
      </c>
      <c r="D56" t="s">
        <v>331</v>
      </c>
    </row>
    <row r="57" spans="3:4">
      <c r="C57" t="s">
        <v>331</v>
      </c>
      <c r="D57" t="s">
        <v>331</v>
      </c>
    </row>
    <row r="58" spans="3:4">
      <c r="C58" t="s">
        <v>331</v>
      </c>
      <c r="D58" t="s">
        <v>331</v>
      </c>
    </row>
    <row r="59" spans="3:4">
      <c r="C59" t="s">
        <v>331</v>
      </c>
      <c r="D59" t="s">
        <v>331</v>
      </c>
    </row>
    <row r="60" spans="3:4">
      <c r="C60" t="s">
        <v>331</v>
      </c>
      <c r="D60" t="s">
        <v>331</v>
      </c>
    </row>
    <row r="61" spans="3:4">
      <c r="C61" t="s">
        <v>331</v>
      </c>
      <c r="D61" t="s">
        <v>331</v>
      </c>
    </row>
    <row r="62" spans="3:4">
      <c r="C62" t="s">
        <v>331</v>
      </c>
      <c r="D62" t="s">
        <v>331</v>
      </c>
    </row>
    <row r="63" spans="3:4">
      <c r="C63" t="s">
        <v>331</v>
      </c>
      <c r="D63" t="s">
        <v>331</v>
      </c>
    </row>
    <row r="64" spans="3:4">
      <c r="C64" t="s">
        <v>331</v>
      </c>
      <c r="D64" t="s">
        <v>331</v>
      </c>
    </row>
    <row r="65" spans="3:4">
      <c r="C65" t="s">
        <v>331</v>
      </c>
      <c r="D65" t="s">
        <v>331</v>
      </c>
    </row>
  </sheetData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329</v>
      </c>
      <c r="D7" t="s">
        <v>329</v>
      </c>
    </row>
    <row r="8" spans="3:4">
      <c r="C8" t="s">
        <v>329</v>
      </c>
      <c r="D8" t="s">
        <v>329</v>
      </c>
    </row>
    <row r="9" spans="3:4">
      <c r="C9" t="s">
        <v>329</v>
      </c>
      <c r="D9" t="s">
        <v>329</v>
      </c>
    </row>
    <row r="10" spans="3:4">
      <c r="C10" t="s">
        <v>329</v>
      </c>
      <c r="D10" t="s">
        <v>329</v>
      </c>
    </row>
    <row r="11" spans="3:4">
      <c r="C11" t="s">
        <v>329</v>
      </c>
      <c r="D11" t="s">
        <v>329</v>
      </c>
    </row>
    <row r="12" spans="3:4">
      <c r="C12" t="s">
        <v>329</v>
      </c>
      <c r="D12" t="s">
        <v>329</v>
      </c>
    </row>
    <row r="13" spans="3:4">
      <c r="C13" t="s">
        <v>329</v>
      </c>
      <c r="D13" t="s">
        <v>329</v>
      </c>
    </row>
    <row r="14" spans="3:4">
      <c r="C14" t="s">
        <v>329</v>
      </c>
      <c r="D14" t="s">
        <v>329</v>
      </c>
    </row>
    <row r="15" spans="3:4">
      <c r="C15" t="s">
        <v>329</v>
      </c>
      <c r="D15" t="s">
        <v>329</v>
      </c>
    </row>
    <row r="16" spans="3:4">
      <c r="C16" t="s">
        <v>329</v>
      </c>
      <c r="D16" t="s">
        <v>329</v>
      </c>
    </row>
    <row r="17" spans="3:4">
      <c r="C17" t="s">
        <v>329</v>
      </c>
      <c r="D17" t="s">
        <v>329</v>
      </c>
    </row>
    <row r="18" spans="3:4">
      <c r="C18" t="s">
        <v>329</v>
      </c>
      <c r="D18" t="s">
        <v>329</v>
      </c>
    </row>
    <row r="19" spans="3:4">
      <c r="C19" t="s">
        <v>329</v>
      </c>
      <c r="D19" t="s">
        <v>329</v>
      </c>
    </row>
    <row r="20" spans="3:4">
      <c r="C20" t="s">
        <v>329</v>
      </c>
      <c r="D20" t="s">
        <v>329</v>
      </c>
    </row>
    <row r="21" spans="3:4">
      <c r="C21" t="s">
        <v>329</v>
      </c>
      <c r="D21" t="s">
        <v>329</v>
      </c>
    </row>
    <row r="22" spans="3:4">
      <c r="C22" t="s">
        <v>329</v>
      </c>
      <c r="D22" t="s">
        <v>329</v>
      </c>
    </row>
    <row r="23" spans="3:4">
      <c r="C23" t="s">
        <v>329</v>
      </c>
      <c r="D23" t="s">
        <v>329</v>
      </c>
    </row>
    <row r="24" spans="3:4">
      <c r="C24" t="s">
        <v>329</v>
      </c>
      <c r="D24" t="s">
        <v>329</v>
      </c>
    </row>
    <row r="25" spans="3:4">
      <c r="C25" t="s">
        <v>329</v>
      </c>
      <c r="D25" t="s">
        <v>329</v>
      </c>
    </row>
    <row r="26" spans="3:4">
      <c r="C26" t="s">
        <v>329</v>
      </c>
      <c r="D26" t="s">
        <v>329</v>
      </c>
    </row>
    <row r="27" spans="3:4">
      <c r="C27" t="s">
        <v>329</v>
      </c>
      <c r="D27" t="s">
        <v>329</v>
      </c>
    </row>
    <row r="28" spans="3:4">
      <c r="C28" t="s">
        <v>329</v>
      </c>
      <c r="D28" t="s">
        <v>329</v>
      </c>
    </row>
    <row r="29" spans="3:4">
      <c r="C29" t="s">
        <v>329</v>
      </c>
      <c r="D29" t="s">
        <v>329</v>
      </c>
    </row>
    <row r="30" spans="3:4">
      <c r="C30" t="s">
        <v>329</v>
      </c>
      <c r="D30" t="s">
        <v>329</v>
      </c>
    </row>
    <row r="31" spans="3:4">
      <c r="C31" t="s">
        <v>329</v>
      </c>
      <c r="D31" t="s">
        <v>329</v>
      </c>
    </row>
    <row r="32" spans="3:4">
      <c r="C32" t="s">
        <v>329</v>
      </c>
      <c r="D32" t="s">
        <v>329</v>
      </c>
    </row>
    <row r="33" spans="3:4">
      <c r="C33" t="s">
        <v>329</v>
      </c>
      <c r="D33" t="s">
        <v>329</v>
      </c>
    </row>
    <row r="34" spans="3:4">
      <c r="C34" t="s">
        <v>329</v>
      </c>
      <c r="D34" t="s">
        <v>329</v>
      </c>
    </row>
    <row r="35" spans="3:4">
      <c r="C35" t="s">
        <v>329</v>
      </c>
      <c r="D35" t="s">
        <v>329</v>
      </c>
    </row>
    <row r="36" spans="3:4">
      <c r="C36" t="s">
        <v>329</v>
      </c>
      <c r="D36" t="s">
        <v>329</v>
      </c>
    </row>
    <row r="37" spans="3:4">
      <c r="C37" t="s">
        <v>329</v>
      </c>
      <c r="D37" t="s">
        <v>329</v>
      </c>
    </row>
    <row r="38" spans="3:4">
      <c r="C38" t="s">
        <v>329</v>
      </c>
      <c r="D38" t="s">
        <v>329</v>
      </c>
    </row>
    <row r="39" spans="3:4">
      <c r="C39" t="s">
        <v>329</v>
      </c>
      <c r="D39" t="s">
        <v>329</v>
      </c>
    </row>
    <row r="40" spans="3:4">
      <c r="C40" t="s">
        <v>329</v>
      </c>
      <c r="D40" t="s">
        <v>329</v>
      </c>
    </row>
    <row r="41" spans="3:4">
      <c r="C41" t="s">
        <v>329</v>
      </c>
      <c r="D41" t="s">
        <v>329</v>
      </c>
    </row>
    <row r="42" spans="3:4">
      <c r="C42" t="s">
        <v>329</v>
      </c>
      <c r="D42" t="s">
        <v>329</v>
      </c>
    </row>
    <row r="43" spans="3:4">
      <c r="C43" t="s">
        <v>329</v>
      </c>
      <c r="D43" t="s">
        <v>329</v>
      </c>
    </row>
    <row r="44" spans="3:4">
      <c r="C44" t="s">
        <v>329</v>
      </c>
      <c r="D44" t="s">
        <v>329</v>
      </c>
    </row>
    <row r="45" spans="3:4">
      <c r="C45" t="s">
        <v>329</v>
      </c>
      <c r="D45" t="s">
        <v>329</v>
      </c>
    </row>
    <row r="46" spans="3:4">
      <c r="C46" t="s">
        <v>329</v>
      </c>
      <c r="D46" t="s">
        <v>329</v>
      </c>
    </row>
    <row r="47" spans="3:4">
      <c r="C47" t="s">
        <v>329</v>
      </c>
      <c r="D47" t="s">
        <v>329</v>
      </c>
    </row>
    <row r="48" spans="3:4">
      <c r="C48" t="s">
        <v>329</v>
      </c>
      <c r="D48" t="s">
        <v>329</v>
      </c>
    </row>
    <row r="49" spans="3:4">
      <c r="C49" t="s">
        <v>329</v>
      </c>
      <c r="D49" t="s">
        <v>329</v>
      </c>
    </row>
    <row r="50" spans="3:4">
      <c r="C50" t="s">
        <v>329</v>
      </c>
      <c r="D50" t="s">
        <v>329</v>
      </c>
    </row>
    <row r="51" spans="3:4">
      <c r="C51" t="s">
        <v>329</v>
      </c>
      <c r="D51" t="s">
        <v>329</v>
      </c>
    </row>
    <row r="52" spans="3:4">
      <c r="C52" t="s">
        <v>329</v>
      </c>
      <c r="D52" t="s">
        <v>329</v>
      </c>
    </row>
    <row r="53" spans="3:4">
      <c r="C53" t="s">
        <v>329</v>
      </c>
      <c r="D53" t="s">
        <v>329</v>
      </c>
    </row>
    <row r="54" spans="3:4">
      <c r="C54" t="s">
        <v>329</v>
      </c>
      <c r="D54" t="s">
        <v>329</v>
      </c>
    </row>
    <row r="55" spans="3:4">
      <c r="C55" t="s">
        <v>329</v>
      </c>
      <c r="D55" t="s">
        <v>329</v>
      </c>
    </row>
    <row r="56" spans="3:4">
      <c r="C56" t="s">
        <v>329</v>
      </c>
      <c r="D56" t="s">
        <v>329</v>
      </c>
    </row>
    <row r="57" spans="3:4">
      <c r="C57" t="s">
        <v>329</v>
      </c>
      <c r="D57" t="s">
        <v>329</v>
      </c>
    </row>
    <row r="58" spans="3:4">
      <c r="C58" t="s">
        <v>329</v>
      </c>
      <c r="D58" t="s">
        <v>329</v>
      </c>
    </row>
    <row r="59" spans="3:4">
      <c r="C59" t="s">
        <v>329</v>
      </c>
      <c r="D59" t="s">
        <v>329</v>
      </c>
    </row>
    <row r="60" spans="3:4">
      <c r="C60" t="s">
        <v>329</v>
      </c>
      <c r="D60" t="s">
        <v>329</v>
      </c>
    </row>
    <row r="61" spans="3:4">
      <c r="C61" t="s">
        <v>329</v>
      </c>
      <c r="D61" t="s">
        <v>329</v>
      </c>
    </row>
    <row r="62" spans="3:4">
      <c r="C62" t="s">
        <v>329</v>
      </c>
      <c r="D62" t="s">
        <v>329</v>
      </c>
    </row>
    <row r="63" spans="3:4">
      <c r="C63" t="s">
        <v>329</v>
      </c>
      <c r="D63" t="s">
        <v>329</v>
      </c>
    </row>
    <row r="64" spans="3:4">
      <c r="C64" t="s">
        <v>329</v>
      </c>
      <c r="D64" t="s">
        <v>329</v>
      </c>
    </row>
    <row r="65" spans="3:4">
      <c r="C65" t="s">
        <v>329</v>
      </c>
      <c r="D65" t="s">
        <v>329</v>
      </c>
    </row>
  </sheetData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328</v>
      </c>
      <c r="D7" t="s">
        <v>328</v>
      </c>
    </row>
    <row r="8" spans="3:4">
      <c r="C8" t="s">
        <v>328</v>
      </c>
      <c r="D8" t="s">
        <v>328</v>
      </c>
    </row>
    <row r="9" spans="3:4">
      <c r="C9" t="s">
        <v>328</v>
      </c>
      <c r="D9" t="s">
        <v>328</v>
      </c>
    </row>
    <row r="10" spans="3:4">
      <c r="C10" t="s">
        <v>328</v>
      </c>
      <c r="D10" t="s">
        <v>328</v>
      </c>
    </row>
    <row r="11" spans="3:4">
      <c r="C11" t="s">
        <v>328</v>
      </c>
      <c r="D11" t="s">
        <v>328</v>
      </c>
    </row>
    <row r="12" spans="3:4">
      <c r="C12" t="s">
        <v>328</v>
      </c>
      <c r="D12" t="s">
        <v>328</v>
      </c>
    </row>
    <row r="13" spans="3:4">
      <c r="C13" t="s">
        <v>328</v>
      </c>
      <c r="D13" t="s">
        <v>328</v>
      </c>
    </row>
    <row r="14" spans="3:4">
      <c r="C14" t="s">
        <v>328</v>
      </c>
      <c r="D14" t="s">
        <v>328</v>
      </c>
    </row>
    <row r="15" spans="3:4">
      <c r="C15" t="s">
        <v>328</v>
      </c>
      <c r="D15" t="s">
        <v>328</v>
      </c>
    </row>
    <row r="16" spans="3:4">
      <c r="C16" t="s">
        <v>328</v>
      </c>
      <c r="D16" t="s">
        <v>328</v>
      </c>
    </row>
    <row r="17" spans="3:4">
      <c r="C17" t="s">
        <v>328</v>
      </c>
      <c r="D17" t="s">
        <v>328</v>
      </c>
    </row>
    <row r="18" spans="3:4">
      <c r="C18" t="s">
        <v>328</v>
      </c>
      <c r="D18" t="s">
        <v>328</v>
      </c>
    </row>
    <row r="19" spans="3:4">
      <c r="C19" t="s">
        <v>328</v>
      </c>
      <c r="D19" t="s">
        <v>328</v>
      </c>
    </row>
    <row r="20" spans="3:4">
      <c r="C20" t="s">
        <v>328</v>
      </c>
      <c r="D20" t="s">
        <v>328</v>
      </c>
    </row>
    <row r="21" spans="3:4">
      <c r="C21" t="s">
        <v>328</v>
      </c>
      <c r="D21" t="s">
        <v>328</v>
      </c>
    </row>
    <row r="22" spans="3:4">
      <c r="C22" t="s">
        <v>328</v>
      </c>
      <c r="D22" t="s">
        <v>328</v>
      </c>
    </row>
    <row r="23" spans="3:4">
      <c r="C23" t="s">
        <v>328</v>
      </c>
      <c r="D23" t="s">
        <v>328</v>
      </c>
    </row>
    <row r="24" spans="3:4">
      <c r="C24" t="s">
        <v>328</v>
      </c>
      <c r="D24" t="s">
        <v>328</v>
      </c>
    </row>
    <row r="25" spans="3:4">
      <c r="C25" t="s">
        <v>328</v>
      </c>
      <c r="D25" t="s">
        <v>328</v>
      </c>
    </row>
    <row r="26" spans="3:4">
      <c r="C26" t="s">
        <v>328</v>
      </c>
      <c r="D26" t="s">
        <v>328</v>
      </c>
    </row>
    <row r="27" spans="3:4">
      <c r="C27" t="s">
        <v>328</v>
      </c>
      <c r="D27" t="s">
        <v>328</v>
      </c>
    </row>
    <row r="28" spans="3:4">
      <c r="C28" t="s">
        <v>328</v>
      </c>
      <c r="D28" t="s">
        <v>328</v>
      </c>
    </row>
    <row r="29" spans="3:4">
      <c r="C29" t="s">
        <v>328</v>
      </c>
      <c r="D29" t="s">
        <v>328</v>
      </c>
    </row>
    <row r="30" spans="3:4">
      <c r="C30" t="s">
        <v>328</v>
      </c>
      <c r="D30" t="s">
        <v>328</v>
      </c>
    </row>
    <row r="31" spans="3:4">
      <c r="C31" t="s">
        <v>328</v>
      </c>
      <c r="D31" t="s">
        <v>328</v>
      </c>
    </row>
    <row r="32" spans="3:4">
      <c r="C32" t="s">
        <v>328</v>
      </c>
      <c r="D32" t="s">
        <v>328</v>
      </c>
    </row>
    <row r="33" spans="3:4">
      <c r="C33" t="s">
        <v>328</v>
      </c>
      <c r="D33" t="s">
        <v>328</v>
      </c>
    </row>
    <row r="34" spans="3:4">
      <c r="C34" t="s">
        <v>328</v>
      </c>
      <c r="D34" t="s">
        <v>328</v>
      </c>
    </row>
    <row r="35" spans="3:4">
      <c r="C35" t="s">
        <v>328</v>
      </c>
      <c r="D35" t="s">
        <v>328</v>
      </c>
    </row>
    <row r="36" spans="3:4">
      <c r="C36" t="s">
        <v>328</v>
      </c>
      <c r="D36" t="s">
        <v>328</v>
      </c>
    </row>
    <row r="37" spans="3:4">
      <c r="C37" t="s">
        <v>328</v>
      </c>
      <c r="D37" t="s">
        <v>328</v>
      </c>
    </row>
    <row r="38" spans="3:4">
      <c r="C38" t="s">
        <v>328</v>
      </c>
      <c r="D38" t="s">
        <v>328</v>
      </c>
    </row>
    <row r="39" spans="3:4">
      <c r="C39" t="s">
        <v>328</v>
      </c>
      <c r="D39" t="s">
        <v>328</v>
      </c>
    </row>
    <row r="40" spans="3:4">
      <c r="C40" t="s">
        <v>328</v>
      </c>
      <c r="D40" t="s">
        <v>328</v>
      </c>
    </row>
    <row r="41" spans="3:4">
      <c r="C41" t="s">
        <v>328</v>
      </c>
      <c r="D41" t="s">
        <v>328</v>
      </c>
    </row>
    <row r="42" spans="3:4">
      <c r="C42" t="s">
        <v>328</v>
      </c>
      <c r="D42" t="s">
        <v>328</v>
      </c>
    </row>
    <row r="43" spans="3:4">
      <c r="C43" t="s">
        <v>328</v>
      </c>
      <c r="D43" t="s">
        <v>328</v>
      </c>
    </row>
    <row r="44" spans="3:4">
      <c r="C44" t="s">
        <v>328</v>
      </c>
      <c r="D44" t="s">
        <v>328</v>
      </c>
    </row>
    <row r="45" spans="3:4">
      <c r="C45" t="s">
        <v>328</v>
      </c>
      <c r="D45" t="s">
        <v>328</v>
      </c>
    </row>
    <row r="46" spans="3:4">
      <c r="C46" t="s">
        <v>328</v>
      </c>
      <c r="D46" t="s">
        <v>328</v>
      </c>
    </row>
    <row r="47" spans="3:4">
      <c r="C47" t="s">
        <v>328</v>
      </c>
      <c r="D47" t="s">
        <v>328</v>
      </c>
    </row>
    <row r="48" spans="3:4">
      <c r="C48" t="s">
        <v>328</v>
      </c>
      <c r="D48" t="s">
        <v>328</v>
      </c>
    </row>
    <row r="49" spans="3:4">
      <c r="C49" t="s">
        <v>328</v>
      </c>
      <c r="D49" t="s">
        <v>328</v>
      </c>
    </row>
    <row r="50" spans="3:4">
      <c r="C50" t="s">
        <v>328</v>
      </c>
      <c r="D50" t="s">
        <v>328</v>
      </c>
    </row>
    <row r="51" spans="3:4">
      <c r="C51" t="s">
        <v>328</v>
      </c>
      <c r="D51" t="s">
        <v>328</v>
      </c>
    </row>
    <row r="52" spans="3:4">
      <c r="C52" t="s">
        <v>328</v>
      </c>
      <c r="D52" t="s">
        <v>328</v>
      </c>
    </row>
    <row r="53" spans="3:4">
      <c r="C53" t="s">
        <v>328</v>
      </c>
      <c r="D53" t="s">
        <v>328</v>
      </c>
    </row>
    <row r="54" spans="3:4">
      <c r="C54" t="s">
        <v>328</v>
      </c>
      <c r="D54" t="s">
        <v>328</v>
      </c>
    </row>
    <row r="55" spans="3:4">
      <c r="C55" t="s">
        <v>328</v>
      </c>
      <c r="D55" t="s">
        <v>328</v>
      </c>
    </row>
    <row r="56" spans="3:4">
      <c r="C56" t="s">
        <v>328</v>
      </c>
      <c r="D56" t="s">
        <v>328</v>
      </c>
    </row>
    <row r="57" spans="3:4">
      <c r="C57" t="s">
        <v>328</v>
      </c>
      <c r="D57" t="s">
        <v>328</v>
      </c>
    </row>
    <row r="58" spans="3:4">
      <c r="C58" t="s">
        <v>328</v>
      </c>
      <c r="D58" t="s">
        <v>328</v>
      </c>
    </row>
    <row r="59" spans="3:4">
      <c r="C59" t="s">
        <v>328</v>
      </c>
      <c r="D59" t="s">
        <v>328</v>
      </c>
    </row>
    <row r="60" spans="3:4">
      <c r="C60" t="s">
        <v>328</v>
      </c>
      <c r="D60" t="s">
        <v>328</v>
      </c>
    </row>
    <row r="61" spans="3:4">
      <c r="C61" t="s">
        <v>328</v>
      </c>
      <c r="D61" t="s">
        <v>328</v>
      </c>
    </row>
    <row r="62" spans="3:4">
      <c r="C62" t="s">
        <v>328</v>
      </c>
      <c r="D62" t="s">
        <v>328</v>
      </c>
    </row>
    <row r="63" spans="3:4">
      <c r="C63" t="s">
        <v>328</v>
      </c>
      <c r="D63" t="s">
        <v>328</v>
      </c>
    </row>
    <row r="64" spans="3:4">
      <c r="C64" t="s">
        <v>328</v>
      </c>
      <c r="D64" t="s">
        <v>328</v>
      </c>
    </row>
    <row r="65" spans="3:4">
      <c r="C65" t="s">
        <v>328</v>
      </c>
      <c r="D65" t="s">
        <v>328</v>
      </c>
    </row>
  </sheetData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326</v>
      </c>
      <c r="D7" t="s">
        <v>326</v>
      </c>
    </row>
    <row r="8" spans="3:4">
      <c r="C8" t="s">
        <v>326</v>
      </c>
      <c r="D8" t="s">
        <v>326</v>
      </c>
    </row>
    <row r="9" spans="3:4">
      <c r="C9" t="s">
        <v>326</v>
      </c>
      <c r="D9" t="s">
        <v>326</v>
      </c>
    </row>
    <row r="10" spans="3:4">
      <c r="C10" t="s">
        <v>326</v>
      </c>
      <c r="D10" t="s">
        <v>326</v>
      </c>
    </row>
    <row r="11" spans="3:4">
      <c r="C11" t="s">
        <v>326</v>
      </c>
      <c r="D11" t="s">
        <v>326</v>
      </c>
    </row>
    <row r="12" spans="3:4">
      <c r="C12" t="s">
        <v>326</v>
      </c>
      <c r="D12" t="s">
        <v>326</v>
      </c>
    </row>
    <row r="13" spans="3:4">
      <c r="C13" t="s">
        <v>326</v>
      </c>
      <c r="D13" t="s">
        <v>326</v>
      </c>
    </row>
    <row r="14" spans="3:4">
      <c r="C14" t="s">
        <v>326</v>
      </c>
      <c r="D14" t="s">
        <v>326</v>
      </c>
    </row>
    <row r="15" spans="3:4">
      <c r="C15" t="s">
        <v>326</v>
      </c>
      <c r="D15" t="s">
        <v>326</v>
      </c>
    </row>
    <row r="16" spans="3:4">
      <c r="C16" t="s">
        <v>326</v>
      </c>
      <c r="D16" t="s">
        <v>326</v>
      </c>
    </row>
    <row r="17" spans="3:4">
      <c r="C17" t="s">
        <v>326</v>
      </c>
      <c r="D17" t="s">
        <v>326</v>
      </c>
    </row>
    <row r="18" spans="3:4">
      <c r="C18" t="s">
        <v>326</v>
      </c>
      <c r="D18" t="s">
        <v>326</v>
      </c>
    </row>
    <row r="19" spans="3:4">
      <c r="C19" t="s">
        <v>326</v>
      </c>
      <c r="D19" t="s">
        <v>326</v>
      </c>
    </row>
    <row r="20" spans="3:4">
      <c r="C20" t="s">
        <v>326</v>
      </c>
      <c r="D20" t="s">
        <v>326</v>
      </c>
    </row>
    <row r="21" spans="3:4">
      <c r="C21" t="s">
        <v>326</v>
      </c>
      <c r="D21" t="s">
        <v>326</v>
      </c>
    </row>
    <row r="22" spans="3:4">
      <c r="C22" t="s">
        <v>326</v>
      </c>
      <c r="D22" t="s">
        <v>326</v>
      </c>
    </row>
    <row r="23" spans="3:4">
      <c r="C23" t="s">
        <v>326</v>
      </c>
      <c r="D23" t="s">
        <v>326</v>
      </c>
    </row>
    <row r="24" spans="3:4">
      <c r="C24" t="s">
        <v>326</v>
      </c>
      <c r="D24" t="s">
        <v>326</v>
      </c>
    </row>
    <row r="25" spans="3:4">
      <c r="C25" t="s">
        <v>326</v>
      </c>
      <c r="D25" t="s">
        <v>326</v>
      </c>
    </row>
    <row r="26" spans="3:4">
      <c r="C26" t="s">
        <v>326</v>
      </c>
      <c r="D26" t="s">
        <v>326</v>
      </c>
    </row>
    <row r="27" spans="3:4">
      <c r="C27" t="s">
        <v>326</v>
      </c>
      <c r="D27" t="s">
        <v>326</v>
      </c>
    </row>
    <row r="28" spans="3:4">
      <c r="C28" t="s">
        <v>326</v>
      </c>
      <c r="D28" t="s">
        <v>326</v>
      </c>
    </row>
    <row r="29" spans="3:4">
      <c r="C29" t="s">
        <v>326</v>
      </c>
      <c r="D29" t="s">
        <v>326</v>
      </c>
    </row>
    <row r="30" spans="3:4">
      <c r="C30" t="s">
        <v>326</v>
      </c>
      <c r="D30" t="s">
        <v>326</v>
      </c>
    </row>
    <row r="31" spans="3:4">
      <c r="C31" t="s">
        <v>326</v>
      </c>
      <c r="D31" t="s">
        <v>326</v>
      </c>
    </row>
    <row r="32" spans="3:4">
      <c r="C32" t="s">
        <v>326</v>
      </c>
      <c r="D32" t="s">
        <v>326</v>
      </c>
    </row>
    <row r="33" spans="3:4">
      <c r="C33" t="s">
        <v>326</v>
      </c>
      <c r="D33" t="s">
        <v>326</v>
      </c>
    </row>
    <row r="34" spans="3:4">
      <c r="C34" t="s">
        <v>326</v>
      </c>
      <c r="D34" t="s">
        <v>326</v>
      </c>
    </row>
    <row r="35" spans="3:4">
      <c r="C35" t="s">
        <v>326</v>
      </c>
      <c r="D35" t="s">
        <v>326</v>
      </c>
    </row>
    <row r="36" spans="3:4">
      <c r="C36" t="s">
        <v>326</v>
      </c>
      <c r="D36" t="s">
        <v>326</v>
      </c>
    </row>
    <row r="37" spans="3:4">
      <c r="C37" t="s">
        <v>326</v>
      </c>
      <c r="D37" t="s">
        <v>326</v>
      </c>
    </row>
    <row r="38" spans="3:4">
      <c r="C38" t="s">
        <v>326</v>
      </c>
      <c r="D38" t="s">
        <v>326</v>
      </c>
    </row>
    <row r="39" spans="3:4">
      <c r="C39" t="s">
        <v>326</v>
      </c>
      <c r="D39" t="s">
        <v>326</v>
      </c>
    </row>
    <row r="40" spans="3:4">
      <c r="C40" t="s">
        <v>326</v>
      </c>
      <c r="D40" t="s">
        <v>326</v>
      </c>
    </row>
    <row r="41" spans="3:4">
      <c r="C41" t="s">
        <v>326</v>
      </c>
      <c r="D41" t="s">
        <v>326</v>
      </c>
    </row>
    <row r="42" spans="3:4">
      <c r="C42" t="s">
        <v>326</v>
      </c>
      <c r="D42" t="s">
        <v>326</v>
      </c>
    </row>
    <row r="43" spans="3:4">
      <c r="C43" t="s">
        <v>326</v>
      </c>
      <c r="D43" t="s">
        <v>326</v>
      </c>
    </row>
    <row r="44" spans="3:4">
      <c r="C44" t="s">
        <v>326</v>
      </c>
      <c r="D44" t="s">
        <v>326</v>
      </c>
    </row>
    <row r="45" spans="3:4">
      <c r="C45" t="s">
        <v>326</v>
      </c>
      <c r="D45" t="s">
        <v>326</v>
      </c>
    </row>
    <row r="46" spans="3:4">
      <c r="C46" t="s">
        <v>326</v>
      </c>
      <c r="D46" t="s">
        <v>326</v>
      </c>
    </row>
    <row r="47" spans="3:4">
      <c r="C47" t="s">
        <v>326</v>
      </c>
      <c r="D47" t="s">
        <v>326</v>
      </c>
    </row>
    <row r="48" spans="3:4">
      <c r="C48" t="s">
        <v>326</v>
      </c>
      <c r="D48" t="s">
        <v>326</v>
      </c>
    </row>
    <row r="49" spans="3:4">
      <c r="C49" t="s">
        <v>326</v>
      </c>
      <c r="D49" t="s">
        <v>326</v>
      </c>
    </row>
    <row r="50" spans="3:4">
      <c r="C50" t="s">
        <v>326</v>
      </c>
      <c r="D50" t="s">
        <v>326</v>
      </c>
    </row>
    <row r="51" spans="3:4">
      <c r="C51" t="s">
        <v>326</v>
      </c>
      <c r="D51" t="s">
        <v>326</v>
      </c>
    </row>
    <row r="52" spans="3:4">
      <c r="C52" t="s">
        <v>326</v>
      </c>
      <c r="D52" t="s">
        <v>326</v>
      </c>
    </row>
    <row r="53" spans="3:4">
      <c r="C53" t="s">
        <v>326</v>
      </c>
      <c r="D53" t="s">
        <v>326</v>
      </c>
    </row>
    <row r="54" spans="3:4">
      <c r="C54" t="s">
        <v>326</v>
      </c>
      <c r="D54" t="s">
        <v>326</v>
      </c>
    </row>
    <row r="55" spans="3:4">
      <c r="C55" t="s">
        <v>326</v>
      </c>
      <c r="D55" t="s">
        <v>326</v>
      </c>
    </row>
    <row r="56" spans="3:4">
      <c r="C56" t="s">
        <v>326</v>
      </c>
      <c r="D56" t="s">
        <v>326</v>
      </c>
    </row>
    <row r="57" spans="3:4">
      <c r="C57" t="s">
        <v>326</v>
      </c>
      <c r="D57" t="s">
        <v>326</v>
      </c>
    </row>
    <row r="58" spans="3:4">
      <c r="C58" t="s">
        <v>326</v>
      </c>
      <c r="D58" t="s">
        <v>326</v>
      </c>
    </row>
    <row r="59" spans="3:4">
      <c r="C59" t="s">
        <v>326</v>
      </c>
      <c r="D59" t="s">
        <v>326</v>
      </c>
    </row>
    <row r="60" spans="3:4">
      <c r="C60" t="s">
        <v>326</v>
      </c>
      <c r="D60" t="s">
        <v>326</v>
      </c>
    </row>
    <row r="61" spans="3:4">
      <c r="C61" t="s">
        <v>326</v>
      </c>
      <c r="D61" t="s">
        <v>326</v>
      </c>
    </row>
    <row r="62" spans="3:4">
      <c r="C62" t="s">
        <v>326</v>
      </c>
      <c r="D62" t="s">
        <v>326</v>
      </c>
    </row>
    <row r="63" spans="3:4">
      <c r="C63" t="s">
        <v>326</v>
      </c>
      <c r="D63" t="s">
        <v>326</v>
      </c>
    </row>
    <row r="64" spans="3:4">
      <c r="C64" t="s">
        <v>326</v>
      </c>
      <c r="D64" t="s">
        <v>326</v>
      </c>
    </row>
    <row r="65" spans="3:4">
      <c r="C65" t="s">
        <v>326</v>
      </c>
      <c r="D65" t="s">
        <v>326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F44" sqref="F44"/>
    </sheetView>
  </sheetViews>
  <sheetFormatPr defaultColWidth="11.7109375" defaultRowHeight="15"/>
  <cols>
    <col min="1" max="1" width="59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237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8437806.8399999999</v>
      </c>
      <c r="D8" s="11">
        <f>D9+D11+D14+D15</f>
        <v>8152892.4300000006</v>
      </c>
    </row>
    <row r="9" spans="1:4" ht="30">
      <c r="A9" s="12" t="s">
        <v>90</v>
      </c>
      <c r="B9" s="13" t="s">
        <v>91</v>
      </c>
      <c r="C9" s="14">
        <f>7240380.05</f>
        <v>7240380.0499999998</v>
      </c>
      <c r="D9" s="15">
        <f>6787758.94</f>
        <v>6787758.9400000004</v>
      </c>
    </row>
    <row r="10" spans="1:4">
      <c r="A10" s="16" t="s">
        <v>92</v>
      </c>
      <c r="B10" s="17" t="s">
        <v>93</v>
      </c>
      <c r="C10" s="18">
        <f>4435868.88632873</f>
        <v>4435868.8863287298</v>
      </c>
      <c r="D10" s="19">
        <f>_26h_E12</f>
        <v>4435868.8863287298</v>
      </c>
    </row>
    <row r="11" spans="1:4" ht="24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6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1197426.79</v>
      </c>
      <c r="D15" s="15">
        <f>SUM(D16:D24)</f>
        <v>1365133.49</v>
      </c>
    </row>
    <row r="16" spans="1:4">
      <c r="A16" s="22" t="s">
        <v>103</v>
      </c>
      <c r="B16" s="17" t="s">
        <v>104</v>
      </c>
      <c r="C16" s="111">
        <v>855241.92</v>
      </c>
      <c r="D16" s="113">
        <v>973429.91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195239.16</f>
        <v>195239.16</v>
      </c>
      <c r="D18" s="19">
        <f>244747.44</f>
        <v>244747.44</v>
      </c>
    </row>
    <row r="19" spans="1:4">
      <c r="A19" s="22" t="s">
        <v>109</v>
      </c>
      <c r="B19" s="17" t="s">
        <v>110</v>
      </c>
      <c r="C19" s="18">
        <f>28397.68</f>
        <v>28397.68</v>
      </c>
      <c r="D19" s="19">
        <f>28416.74</f>
        <v>28416.74</v>
      </c>
    </row>
    <row r="20" spans="1:4">
      <c r="A20" s="22" t="s">
        <v>111</v>
      </c>
      <c r="B20" s="17" t="s">
        <v>112</v>
      </c>
      <c r="C20" s="18">
        <f>19823.3</f>
        <v>19823.3</v>
      </c>
      <c r="D20" s="19">
        <f>19814.67</f>
        <v>19814.669999999998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98724.73</f>
        <v>98724.73</v>
      </c>
      <c r="D22" s="19">
        <f>98724.73</f>
        <v>98724.73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3614645.2800000003</v>
      </c>
      <c r="D25" s="15">
        <f>D26+D27+D30+D28+D29+D31</f>
        <v>3620618.06</v>
      </c>
    </row>
    <row r="26" spans="1:4" ht="23.25" customHeight="1">
      <c r="A26" s="24" t="s">
        <v>123</v>
      </c>
      <c r="B26" s="20" t="s">
        <v>124</v>
      </c>
      <c r="C26" s="18">
        <f>1360447.56</f>
        <v>1360447.56</v>
      </c>
      <c r="D26" s="19">
        <f>1357140.92</f>
        <v>1357140.92</v>
      </c>
    </row>
    <row r="27" spans="1:4" ht="45">
      <c r="A27" s="24" t="s">
        <v>125</v>
      </c>
      <c r="B27" s="20" t="s">
        <v>126</v>
      </c>
      <c r="C27" s="18">
        <f>110005.56</f>
        <v>110005.56</v>
      </c>
      <c r="D27" s="19">
        <f>109959.91</f>
        <v>109959.91</v>
      </c>
    </row>
    <row r="28" spans="1:4" ht="34.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141983.04</f>
        <v>141983.04000000001</v>
      </c>
      <c r="D29" s="19">
        <f>140741.73</f>
        <v>140741.73000000001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1185297.1200000001</v>
      </c>
      <c r="D31" s="15">
        <f>SUM(D32:D39)</f>
        <v>1195863.5</v>
      </c>
    </row>
    <row r="32" spans="1:4" ht="20.25" customHeight="1">
      <c r="A32" s="24" t="s">
        <v>135</v>
      </c>
      <c r="B32" s="17" t="s">
        <v>136</v>
      </c>
      <c r="C32" s="18">
        <f>91894.23</f>
        <v>91894.23</v>
      </c>
      <c r="D32" s="19">
        <f>91894.28</f>
        <v>91894.28</v>
      </c>
    </row>
    <row r="33" spans="1:4">
      <c r="A33" s="24" t="s">
        <v>137</v>
      </c>
      <c r="B33" s="17" t="s">
        <v>138</v>
      </c>
      <c r="C33" s="18">
        <f>149289.48</f>
        <v>149289.48000000001</v>
      </c>
      <c r="D33" s="19">
        <f>162862.18</f>
        <v>162862.18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258489.71</f>
        <v>258489.71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f>682617.33</f>
        <v>682617.33</v>
      </c>
      <c r="D39" s="19">
        <f>682617.33</f>
        <v>682617.33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84920.640000000014</v>
      </c>
      <c r="D45" s="27">
        <f>SUM(D46:D48)</f>
        <v>93795.890000000014</v>
      </c>
    </row>
    <row r="46" spans="1:4">
      <c r="A46" s="21" t="s">
        <v>163</v>
      </c>
      <c r="B46" s="17" t="s">
        <v>164</v>
      </c>
      <c r="C46" s="18">
        <f>82279.32</f>
        <v>82279.320000000007</v>
      </c>
      <c r="D46" s="19">
        <f>91154.57</f>
        <v>91154.57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959777.64</f>
        <v>959777.64</v>
      </c>
      <c r="D49" s="30">
        <f>1229844.02</f>
        <v>1229844.02</v>
      </c>
    </row>
    <row r="50" spans="1:4">
      <c r="A50" s="8" t="s">
        <v>169</v>
      </c>
      <c r="B50" s="9" t="s">
        <v>170</v>
      </c>
      <c r="C50" s="14">
        <f>C8+C25+C40+C41+C42+C43+C44+C45+C49+C51+C52</f>
        <v>13097150.400000002</v>
      </c>
      <c r="D50" s="15">
        <f>D8+D25+D40+D41+D42+D43+D44+D45+D49+D51+D52</f>
        <v>13097150.4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7995216.7800000003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7654500.42</f>
        <v>7654500.4199999999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340716.36</f>
        <v>340716.36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4165368.06</f>
        <v>4165368.06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12160584.84</v>
      </c>
      <c r="D59" s="27">
        <f>D54+D57+D58</f>
        <v>0</v>
      </c>
    </row>
    <row r="60" spans="1:4" ht="25.5">
      <c r="A60" s="33" t="s">
        <v>188</v>
      </c>
      <c r="B60" s="9"/>
      <c r="C60" s="34">
        <v>48616</v>
      </c>
      <c r="D60" s="35">
        <v>48616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D16:D17"/>
    <mergeCell ref="C16:C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324</v>
      </c>
      <c r="D7" t="s">
        <v>324</v>
      </c>
    </row>
    <row r="8" spans="3:4">
      <c r="C8" t="s">
        <v>324</v>
      </c>
      <c r="D8" t="s">
        <v>324</v>
      </c>
    </row>
    <row r="9" spans="3:4">
      <c r="C9" t="s">
        <v>324</v>
      </c>
      <c r="D9" t="s">
        <v>324</v>
      </c>
    </row>
    <row r="10" spans="3:4">
      <c r="C10" t="s">
        <v>324</v>
      </c>
      <c r="D10" t="s">
        <v>324</v>
      </c>
    </row>
    <row r="11" spans="3:4">
      <c r="C11" t="s">
        <v>324</v>
      </c>
      <c r="D11" t="s">
        <v>324</v>
      </c>
    </row>
    <row r="12" spans="3:4">
      <c r="C12" t="s">
        <v>324</v>
      </c>
      <c r="D12" t="s">
        <v>324</v>
      </c>
    </row>
    <row r="13" spans="3:4">
      <c r="C13" t="s">
        <v>324</v>
      </c>
      <c r="D13" t="s">
        <v>324</v>
      </c>
    </row>
    <row r="14" spans="3:4">
      <c r="C14" t="s">
        <v>324</v>
      </c>
      <c r="D14" t="s">
        <v>324</v>
      </c>
    </row>
    <row r="15" spans="3:4">
      <c r="C15" t="s">
        <v>324</v>
      </c>
      <c r="D15" t="s">
        <v>324</v>
      </c>
    </row>
    <row r="16" spans="3:4">
      <c r="C16" t="s">
        <v>324</v>
      </c>
      <c r="D16" t="s">
        <v>324</v>
      </c>
    </row>
    <row r="17" spans="3:4">
      <c r="C17" t="s">
        <v>324</v>
      </c>
      <c r="D17" t="s">
        <v>324</v>
      </c>
    </row>
    <row r="18" spans="3:4">
      <c r="C18" t="s">
        <v>324</v>
      </c>
      <c r="D18" t="s">
        <v>324</v>
      </c>
    </row>
    <row r="19" spans="3:4">
      <c r="C19" t="s">
        <v>324</v>
      </c>
      <c r="D19" t="s">
        <v>324</v>
      </c>
    </row>
    <row r="20" spans="3:4">
      <c r="C20" t="s">
        <v>324</v>
      </c>
      <c r="D20" t="s">
        <v>324</v>
      </c>
    </row>
    <row r="21" spans="3:4">
      <c r="C21" t="s">
        <v>324</v>
      </c>
      <c r="D21" t="s">
        <v>324</v>
      </c>
    </row>
    <row r="22" spans="3:4">
      <c r="C22" t="s">
        <v>324</v>
      </c>
      <c r="D22" t="s">
        <v>324</v>
      </c>
    </row>
    <row r="23" spans="3:4">
      <c r="C23" t="s">
        <v>324</v>
      </c>
      <c r="D23" t="s">
        <v>324</v>
      </c>
    </row>
    <row r="24" spans="3:4">
      <c r="C24" t="s">
        <v>324</v>
      </c>
      <c r="D24" t="s">
        <v>324</v>
      </c>
    </row>
    <row r="25" spans="3:4">
      <c r="C25" t="s">
        <v>324</v>
      </c>
      <c r="D25" t="s">
        <v>324</v>
      </c>
    </row>
    <row r="26" spans="3:4">
      <c r="C26" t="s">
        <v>324</v>
      </c>
      <c r="D26" t="s">
        <v>324</v>
      </c>
    </row>
    <row r="27" spans="3:4">
      <c r="C27" t="s">
        <v>324</v>
      </c>
      <c r="D27" t="s">
        <v>324</v>
      </c>
    </row>
    <row r="28" spans="3:4">
      <c r="C28" t="s">
        <v>324</v>
      </c>
      <c r="D28" t="s">
        <v>324</v>
      </c>
    </row>
    <row r="29" spans="3:4">
      <c r="C29" t="s">
        <v>324</v>
      </c>
      <c r="D29" t="s">
        <v>324</v>
      </c>
    </row>
    <row r="30" spans="3:4">
      <c r="C30" t="s">
        <v>324</v>
      </c>
      <c r="D30" t="s">
        <v>324</v>
      </c>
    </row>
    <row r="31" spans="3:4">
      <c r="C31" t="s">
        <v>324</v>
      </c>
      <c r="D31" t="s">
        <v>324</v>
      </c>
    </row>
    <row r="32" spans="3:4">
      <c r="C32" t="s">
        <v>324</v>
      </c>
      <c r="D32" t="s">
        <v>324</v>
      </c>
    </row>
    <row r="33" spans="3:4">
      <c r="C33" t="s">
        <v>324</v>
      </c>
      <c r="D33" t="s">
        <v>324</v>
      </c>
    </row>
    <row r="34" spans="3:4">
      <c r="C34" t="s">
        <v>324</v>
      </c>
      <c r="D34" t="s">
        <v>324</v>
      </c>
    </row>
    <row r="35" spans="3:4">
      <c r="C35" t="s">
        <v>324</v>
      </c>
      <c r="D35" t="s">
        <v>324</v>
      </c>
    </row>
    <row r="36" spans="3:4">
      <c r="C36" t="s">
        <v>324</v>
      </c>
      <c r="D36" t="s">
        <v>324</v>
      </c>
    </row>
    <row r="37" spans="3:4">
      <c r="C37" t="s">
        <v>324</v>
      </c>
      <c r="D37" t="s">
        <v>324</v>
      </c>
    </row>
    <row r="38" spans="3:4">
      <c r="C38" t="s">
        <v>324</v>
      </c>
      <c r="D38" t="s">
        <v>324</v>
      </c>
    </row>
    <row r="39" spans="3:4">
      <c r="C39" t="s">
        <v>324</v>
      </c>
      <c r="D39" t="s">
        <v>324</v>
      </c>
    </row>
    <row r="40" spans="3:4">
      <c r="C40" t="s">
        <v>324</v>
      </c>
      <c r="D40" t="s">
        <v>324</v>
      </c>
    </row>
    <row r="41" spans="3:4">
      <c r="C41" t="s">
        <v>324</v>
      </c>
      <c r="D41" t="s">
        <v>324</v>
      </c>
    </row>
    <row r="42" spans="3:4">
      <c r="C42" t="s">
        <v>324</v>
      </c>
      <c r="D42" t="s">
        <v>324</v>
      </c>
    </row>
    <row r="43" spans="3:4">
      <c r="C43" t="s">
        <v>324</v>
      </c>
      <c r="D43" t="s">
        <v>324</v>
      </c>
    </row>
    <row r="44" spans="3:4">
      <c r="C44" t="s">
        <v>324</v>
      </c>
      <c r="D44" t="s">
        <v>324</v>
      </c>
    </row>
    <row r="45" spans="3:4">
      <c r="C45" t="s">
        <v>324</v>
      </c>
      <c r="D45" t="s">
        <v>324</v>
      </c>
    </row>
    <row r="46" spans="3:4">
      <c r="C46" t="s">
        <v>324</v>
      </c>
      <c r="D46" t="s">
        <v>324</v>
      </c>
    </row>
    <row r="47" spans="3:4">
      <c r="C47" t="s">
        <v>324</v>
      </c>
      <c r="D47" t="s">
        <v>324</v>
      </c>
    </row>
    <row r="48" spans="3:4">
      <c r="C48" t="s">
        <v>324</v>
      </c>
      <c r="D48" t="s">
        <v>324</v>
      </c>
    </row>
    <row r="49" spans="3:4">
      <c r="C49" t="s">
        <v>324</v>
      </c>
      <c r="D49" t="s">
        <v>324</v>
      </c>
    </row>
    <row r="50" spans="3:4">
      <c r="C50" t="s">
        <v>324</v>
      </c>
      <c r="D50" t="s">
        <v>324</v>
      </c>
    </row>
    <row r="51" spans="3:4">
      <c r="C51" t="s">
        <v>324</v>
      </c>
      <c r="D51" t="s">
        <v>324</v>
      </c>
    </row>
    <row r="52" spans="3:4">
      <c r="C52" t="s">
        <v>324</v>
      </c>
      <c r="D52" t="s">
        <v>324</v>
      </c>
    </row>
    <row r="53" spans="3:4">
      <c r="C53" t="s">
        <v>324</v>
      </c>
      <c r="D53" t="s">
        <v>324</v>
      </c>
    </row>
    <row r="54" spans="3:4">
      <c r="C54" t="s">
        <v>324</v>
      </c>
      <c r="D54" t="s">
        <v>324</v>
      </c>
    </row>
    <row r="55" spans="3:4">
      <c r="C55" t="s">
        <v>324</v>
      </c>
      <c r="D55" t="s">
        <v>324</v>
      </c>
    </row>
    <row r="56" spans="3:4">
      <c r="C56" t="s">
        <v>324</v>
      </c>
      <c r="D56" t="s">
        <v>324</v>
      </c>
    </row>
    <row r="57" spans="3:4">
      <c r="C57" t="s">
        <v>324</v>
      </c>
      <c r="D57" t="s">
        <v>324</v>
      </c>
    </row>
    <row r="58" spans="3:4">
      <c r="C58" t="s">
        <v>324</v>
      </c>
      <c r="D58" t="s">
        <v>324</v>
      </c>
    </row>
    <row r="59" spans="3:4">
      <c r="C59" t="s">
        <v>324</v>
      </c>
      <c r="D59" t="s">
        <v>324</v>
      </c>
    </row>
    <row r="60" spans="3:4">
      <c r="C60" t="s">
        <v>324</v>
      </c>
      <c r="D60" t="s">
        <v>324</v>
      </c>
    </row>
    <row r="61" spans="3:4">
      <c r="C61" t="s">
        <v>324</v>
      </c>
      <c r="D61" t="s">
        <v>324</v>
      </c>
    </row>
    <row r="62" spans="3:4">
      <c r="C62" t="s">
        <v>324</v>
      </c>
      <c r="D62" t="s">
        <v>324</v>
      </c>
    </row>
    <row r="63" spans="3:4">
      <c r="C63" t="s">
        <v>324</v>
      </c>
      <c r="D63" t="s">
        <v>324</v>
      </c>
    </row>
    <row r="64" spans="3:4">
      <c r="C64" t="s">
        <v>324</v>
      </c>
      <c r="D64" t="s">
        <v>324</v>
      </c>
    </row>
    <row r="65" spans="3:4">
      <c r="C65" t="s">
        <v>324</v>
      </c>
      <c r="D65" t="s">
        <v>324</v>
      </c>
    </row>
  </sheetData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322</v>
      </c>
      <c r="D7" t="s">
        <v>322</v>
      </c>
    </row>
    <row r="8" spans="3:4">
      <c r="C8" t="s">
        <v>322</v>
      </c>
      <c r="D8" t="s">
        <v>322</v>
      </c>
    </row>
    <row r="9" spans="3:4">
      <c r="C9" t="s">
        <v>322</v>
      </c>
      <c r="D9" t="s">
        <v>322</v>
      </c>
    </row>
    <row r="10" spans="3:4">
      <c r="C10" t="s">
        <v>322</v>
      </c>
      <c r="D10" t="s">
        <v>322</v>
      </c>
    </row>
    <row r="11" spans="3:4">
      <c r="C11" t="s">
        <v>322</v>
      </c>
      <c r="D11" t="s">
        <v>322</v>
      </c>
    </row>
    <row r="12" spans="3:4">
      <c r="C12" t="s">
        <v>322</v>
      </c>
      <c r="D12" t="s">
        <v>322</v>
      </c>
    </row>
    <row r="13" spans="3:4">
      <c r="C13" t="s">
        <v>322</v>
      </c>
      <c r="D13" t="s">
        <v>322</v>
      </c>
    </row>
    <row r="14" spans="3:4">
      <c r="C14" t="s">
        <v>322</v>
      </c>
      <c r="D14" t="s">
        <v>322</v>
      </c>
    </row>
    <row r="15" spans="3:4">
      <c r="C15" t="s">
        <v>322</v>
      </c>
      <c r="D15" t="s">
        <v>322</v>
      </c>
    </row>
    <row r="16" spans="3:4">
      <c r="C16" t="s">
        <v>322</v>
      </c>
      <c r="D16" t="s">
        <v>322</v>
      </c>
    </row>
    <row r="17" spans="3:4">
      <c r="C17" t="s">
        <v>322</v>
      </c>
      <c r="D17" t="s">
        <v>322</v>
      </c>
    </row>
    <row r="18" spans="3:4">
      <c r="C18" t="s">
        <v>322</v>
      </c>
      <c r="D18" t="s">
        <v>322</v>
      </c>
    </row>
    <row r="19" spans="3:4">
      <c r="C19" t="s">
        <v>322</v>
      </c>
      <c r="D19" t="s">
        <v>322</v>
      </c>
    </row>
    <row r="20" spans="3:4">
      <c r="C20" t="s">
        <v>322</v>
      </c>
      <c r="D20" t="s">
        <v>322</v>
      </c>
    </row>
    <row r="21" spans="3:4">
      <c r="C21" t="s">
        <v>322</v>
      </c>
      <c r="D21" t="s">
        <v>322</v>
      </c>
    </row>
    <row r="22" spans="3:4">
      <c r="C22" t="s">
        <v>322</v>
      </c>
      <c r="D22" t="s">
        <v>322</v>
      </c>
    </row>
    <row r="23" spans="3:4">
      <c r="C23" t="s">
        <v>322</v>
      </c>
      <c r="D23" t="s">
        <v>322</v>
      </c>
    </row>
    <row r="24" spans="3:4">
      <c r="C24" t="s">
        <v>322</v>
      </c>
      <c r="D24" t="s">
        <v>322</v>
      </c>
    </row>
    <row r="25" spans="3:4">
      <c r="C25" t="s">
        <v>322</v>
      </c>
      <c r="D25" t="s">
        <v>322</v>
      </c>
    </row>
    <row r="26" spans="3:4">
      <c r="C26" t="s">
        <v>322</v>
      </c>
      <c r="D26" t="s">
        <v>322</v>
      </c>
    </row>
    <row r="27" spans="3:4">
      <c r="C27" t="s">
        <v>322</v>
      </c>
      <c r="D27" t="s">
        <v>322</v>
      </c>
    </row>
    <row r="28" spans="3:4">
      <c r="C28" t="s">
        <v>322</v>
      </c>
      <c r="D28" t="s">
        <v>322</v>
      </c>
    </row>
    <row r="29" spans="3:4">
      <c r="C29" t="s">
        <v>322</v>
      </c>
      <c r="D29" t="s">
        <v>322</v>
      </c>
    </row>
    <row r="30" spans="3:4">
      <c r="C30" t="s">
        <v>322</v>
      </c>
      <c r="D30" t="s">
        <v>322</v>
      </c>
    </row>
    <row r="31" spans="3:4">
      <c r="C31" t="s">
        <v>322</v>
      </c>
      <c r="D31" t="s">
        <v>322</v>
      </c>
    </row>
    <row r="32" spans="3:4">
      <c r="C32" t="s">
        <v>322</v>
      </c>
      <c r="D32" t="s">
        <v>322</v>
      </c>
    </row>
    <row r="33" spans="3:4">
      <c r="C33" t="s">
        <v>322</v>
      </c>
      <c r="D33" t="s">
        <v>322</v>
      </c>
    </row>
    <row r="34" spans="3:4">
      <c r="C34" t="s">
        <v>322</v>
      </c>
      <c r="D34" t="s">
        <v>322</v>
      </c>
    </row>
    <row r="35" spans="3:4">
      <c r="C35" t="s">
        <v>322</v>
      </c>
      <c r="D35" t="s">
        <v>322</v>
      </c>
    </row>
    <row r="36" spans="3:4">
      <c r="C36" t="s">
        <v>322</v>
      </c>
      <c r="D36" t="s">
        <v>322</v>
      </c>
    </row>
    <row r="37" spans="3:4">
      <c r="C37" t="s">
        <v>322</v>
      </c>
      <c r="D37" t="s">
        <v>322</v>
      </c>
    </row>
    <row r="38" spans="3:4">
      <c r="C38" t="s">
        <v>322</v>
      </c>
      <c r="D38" t="s">
        <v>322</v>
      </c>
    </row>
    <row r="39" spans="3:4">
      <c r="C39" t="s">
        <v>322</v>
      </c>
      <c r="D39" t="s">
        <v>322</v>
      </c>
    </row>
    <row r="40" spans="3:4">
      <c r="C40" t="s">
        <v>322</v>
      </c>
      <c r="D40" t="s">
        <v>322</v>
      </c>
    </row>
    <row r="41" spans="3:4">
      <c r="C41" t="s">
        <v>322</v>
      </c>
      <c r="D41" t="s">
        <v>322</v>
      </c>
    </row>
    <row r="42" spans="3:4">
      <c r="C42" t="s">
        <v>322</v>
      </c>
      <c r="D42" t="s">
        <v>322</v>
      </c>
    </row>
    <row r="43" spans="3:4">
      <c r="C43" t="s">
        <v>322</v>
      </c>
      <c r="D43" t="s">
        <v>322</v>
      </c>
    </row>
    <row r="44" spans="3:4">
      <c r="C44" t="s">
        <v>322</v>
      </c>
      <c r="D44" t="s">
        <v>322</v>
      </c>
    </row>
    <row r="45" spans="3:4">
      <c r="C45" t="s">
        <v>322</v>
      </c>
      <c r="D45" t="s">
        <v>322</v>
      </c>
    </row>
    <row r="46" spans="3:4">
      <c r="C46" t="s">
        <v>322</v>
      </c>
      <c r="D46" t="s">
        <v>322</v>
      </c>
    </row>
    <row r="47" spans="3:4">
      <c r="C47" t="s">
        <v>322</v>
      </c>
      <c r="D47" t="s">
        <v>322</v>
      </c>
    </row>
    <row r="48" spans="3:4">
      <c r="C48" t="s">
        <v>322</v>
      </c>
      <c r="D48" t="s">
        <v>322</v>
      </c>
    </row>
    <row r="49" spans="3:4">
      <c r="C49" t="s">
        <v>322</v>
      </c>
      <c r="D49" t="s">
        <v>322</v>
      </c>
    </row>
    <row r="50" spans="3:4">
      <c r="C50" t="s">
        <v>322</v>
      </c>
      <c r="D50" t="s">
        <v>322</v>
      </c>
    </row>
    <row r="51" spans="3:4">
      <c r="C51" t="s">
        <v>322</v>
      </c>
      <c r="D51" t="s">
        <v>322</v>
      </c>
    </row>
    <row r="52" spans="3:4">
      <c r="C52" t="s">
        <v>322</v>
      </c>
      <c r="D52" t="s">
        <v>322</v>
      </c>
    </row>
    <row r="53" spans="3:4">
      <c r="C53" t="s">
        <v>322</v>
      </c>
      <c r="D53" t="s">
        <v>322</v>
      </c>
    </row>
    <row r="54" spans="3:4">
      <c r="C54" t="s">
        <v>322</v>
      </c>
      <c r="D54" t="s">
        <v>322</v>
      </c>
    </row>
    <row r="55" spans="3:4">
      <c r="C55" t="s">
        <v>322</v>
      </c>
      <c r="D55" t="s">
        <v>322</v>
      </c>
    </row>
    <row r="56" spans="3:4">
      <c r="C56" t="s">
        <v>322</v>
      </c>
      <c r="D56" t="s">
        <v>322</v>
      </c>
    </row>
    <row r="57" spans="3:4">
      <c r="C57" t="s">
        <v>322</v>
      </c>
      <c r="D57" t="s">
        <v>322</v>
      </c>
    </row>
    <row r="58" spans="3:4">
      <c r="C58" t="s">
        <v>322</v>
      </c>
      <c r="D58" t="s">
        <v>322</v>
      </c>
    </row>
    <row r="59" spans="3:4">
      <c r="C59" t="s">
        <v>322</v>
      </c>
      <c r="D59" t="s">
        <v>322</v>
      </c>
    </row>
    <row r="60" spans="3:4">
      <c r="C60" t="s">
        <v>322</v>
      </c>
      <c r="D60" t="s">
        <v>322</v>
      </c>
    </row>
    <row r="61" spans="3:4">
      <c r="C61" t="s">
        <v>322</v>
      </c>
      <c r="D61" t="s">
        <v>322</v>
      </c>
    </row>
    <row r="62" spans="3:4">
      <c r="C62" t="s">
        <v>322</v>
      </c>
      <c r="D62" t="s">
        <v>322</v>
      </c>
    </row>
    <row r="63" spans="3:4">
      <c r="C63" t="s">
        <v>322</v>
      </c>
      <c r="D63" t="s">
        <v>322</v>
      </c>
    </row>
    <row r="64" spans="3:4">
      <c r="C64" t="s">
        <v>322</v>
      </c>
      <c r="D64" t="s">
        <v>322</v>
      </c>
    </row>
    <row r="65" spans="3:4">
      <c r="C65" t="s">
        <v>322</v>
      </c>
      <c r="D65" t="s">
        <v>322</v>
      </c>
    </row>
  </sheetData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320</v>
      </c>
      <c r="D7" t="s">
        <v>320</v>
      </c>
    </row>
    <row r="8" spans="3:4">
      <c r="C8" t="s">
        <v>320</v>
      </c>
      <c r="D8" t="s">
        <v>320</v>
      </c>
    </row>
    <row r="9" spans="3:4">
      <c r="C9" t="s">
        <v>320</v>
      </c>
      <c r="D9" t="s">
        <v>320</v>
      </c>
    </row>
    <row r="10" spans="3:4">
      <c r="C10" t="s">
        <v>320</v>
      </c>
      <c r="D10" t="s">
        <v>320</v>
      </c>
    </row>
    <row r="11" spans="3:4">
      <c r="C11" t="s">
        <v>320</v>
      </c>
      <c r="D11" t="s">
        <v>320</v>
      </c>
    </row>
    <row r="12" spans="3:4">
      <c r="C12" t="s">
        <v>320</v>
      </c>
      <c r="D12" t="s">
        <v>320</v>
      </c>
    </row>
    <row r="13" spans="3:4">
      <c r="C13" t="s">
        <v>320</v>
      </c>
      <c r="D13" t="s">
        <v>320</v>
      </c>
    </row>
    <row r="14" spans="3:4">
      <c r="C14" t="s">
        <v>320</v>
      </c>
      <c r="D14" t="s">
        <v>320</v>
      </c>
    </row>
    <row r="15" spans="3:4">
      <c r="C15" t="s">
        <v>320</v>
      </c>
      <c r="D15" t="s">
        <v>320</v>
      </c>
    </row>
    <row r="16" spans="3:4">
      <c r="C16" t="s">
        <v>320</v>
      </c>
      <c r="D16" t="s">
        <v>320</v>
      </c>
    </row>
    <row r="17" spans="3:4">
      <c r="C17" t="s">
        <v>320</v>
      </c>
      <c r="D17" t="s">
        <v>320</v>
      </c>
    </row>
    <row r="18" spans="3:4">
      <c r="C18" t="s">
        <v>320</v>
      </c>
      <c r="D18" t="s">
        <v>320</v>
      </c>
    </row>
    <row r="19" spans="3:4">
      <c r="C19" t="s">
        <v>320</v>
      </c>
      <c r="D19" t="s">
        <v>320</v>
      </c>
    </row>
    <row r="20" spans="3:4">
      <c r="C20" t="s">
        <v>320</v>
      </c>
      <c r="D20" t="s">
        <v>320</v>
      </c>
    </row>
    <row r="21" spans="3:4">
      <c r="C21" t="s">
        <v>320</v>
      </c>
      <c r="D21" t="s">
        <v>320</v>
      </c>
    </row>
    <row r="22" spans="3:4">
      <c r="C22" t="s">
        <v>320</v>
      </c>
      <c r="D22" t="s">
        <v>320</v>
      </c>
    </row>
    <row r="23" spans="3:4">
      <c r="C23" t="s">
        <v>320</v>
      </c>
      <c r="D23" t="s">
        <v>320</v>
      </c>
    </row>
    <row r="24" spans="3:4">
      <c r="C24" t="s">
        <v>320</v>
      </c>
      <c r="D24" t="s">
        <v>320</v>
      </c>
    </row>
    <row r="25" spans="3:4">
      <c r="C25" t="s">
        <v>320</v>
      </c>
      <c r="D25" t="s">
        <v>320</v>
      </c>
    </row>
    <row r="26" spans="3:4">
      <c r="C26" t="s">
        <v>320</v>
      </c>
      <c r="D26" t="s">
        <v>320</v>
      </c>
    </row>
    <row r="27" spans="3:4">
      <c r="C27" t="s">
        <v>320</v>
      </c>
      <c r="D27" t="s">
        <v>320</v>
      </c>
    </row>
    <row r="28" spans="3:4">
      <c r="C28" t="s">
        <v>320</v>
      </c>
      <c r="D28" t="s">
        <v>320</v>
      </c>
    </row>
    <row r="29" spans="3:4">
      <c r="C29" t="s">
        <v>320</v>
      </c>
      <c r="D29" t="s">
        <v>320</v>
      </c>
    </row>
    <row r="30" spans="3:4">
      <c r="C30" t="s">
        <v>320</v>
      </c>
      <c r="D30" t="s">
        <v>320</v>
      </c>
    </row>
    <row r="31" spans="3:4">
      <c r="C31" t="s">
        <v>320</v>
      </c>
      <c r="D31" t="s">
        <v>320</v>
      </c>
    </row>
    <row r="32" spans="3:4">
      <c r="C32" t="s">
        <v>320</v>
      </c>
      <c r="D32" t="s">
        <v>320</v>
      </c>
    </row>
    <row r="33" spans="3:4">
      <c r="C33" t="s">
        <v>320</v>
      </c>
      <c r="D33" t="s">
        <v>320</v>
      </c>
    </row>
    <row r="34" spans="3:4">
      <c r="C34" t="s">
        <v>320</v>
      </c>
      <c r="D34" t="s">
        <v>320</v>
      </c>
    </row>
    <row r="35" spans="3:4">
      <c r="C35" t="s">
        <v>320</v>
      </c>
      <c r="D35" t="s">
        <v>320</v>
      </c>
    </row>
    <row r="36" spans="3:4">
      <c r="C36" t="s">
        <v>320</v>
      </c>
      <c r="D36" t="s">
        <v>320</v>
      </c>
    </row>
    <row r="37" spans="3:4">
      <c r="C37" t="s">
        <v>320</v>
      </c>
      <c r="D37" t="s">
        <v>320</v>
      </c>
    </row>
    <row r="38" spans="3:4">
      <c r="C38" t="s">
        <v>320</v>
      </c>
      <c r="D38" t="s">
        <v>320</v>
      </c>
    </row>
    <row r="39" spans="3:4">
      <c r="C39" t="s">
        <v>320</v>
      </c>
      <c r="D39" t="s">
        <v>320</v>
      </c>
    </row>
    <row r="40" spans="3:4">
      <c r="C40" t="s">
        <v>320</v>
      </c>
      <c r="D40" t="s">
        <v>320</v>
      </c>
    </row>
    <row r="41" spans="3:4">
      <c r="C41" t="s">
        <v>320</v>
      </c>
      <c r="D41" t="s">
        <v>320</v>
      </c>
    </row>
    <row r="42" spans="3:4">
      <c r="C42" t="s">
        <v>320</v>
      </c>
      <c r="D42" t="s">
        <v>320</v>
      </c>
    </row>
    <row r="43" spans="3:4">
      <c r="C43" t="s">
        <v>320</v>
      </c>
      <c r="D43" t="s">
        <v>320</v>
      </c>
    </row>
    <row r="44" spans="3:4">
      <c r="C44" t="s">
        <v>320</v>
      </c>
      <c r="D44" t="s">
        <v>320</v>
      </c>
    </row>
    <row r="45" spans="3:4">
      <c r="C45" t="s">
        <v>320</v>
      </c>
      <c r="D45" t="s">
        <v>320</v>
      </c>
    </row>
    <row r="46" spans="3:4">
      <c r="C46" t="s">
        <v>320</v>
      </c>
      <c r="D46" t="s">
        <v>320</v>
      </c>
    </row>
    <row r="47" spans="3:4">
      <c r="C47" t="s">
        <v>320</v>
      </c>
      <c r="D47" t="s">
        <v>320</v>
      </c>
    </row>
    <row r="48" spans="3:4">
      <c r="C48" t="s">
        <v>320</v>
      </c>
      <c r="D48" t="s">
        <v>320</v>
      </c>
    </row>
    <row r="49" spans="3:4">
      <c r="C49" t="s">
        <v>320</v>
      </c>
      <c r="D49" t="s">
        <v>320</v>
      </c>
    </row>
    <row r="50" spans="3:4">
      <c r="C50" t="s">
        <v>320</v>
      </c>
      <c r="D50" t="s">
        <v>320</v>
      </c>
    </row>
    <row r="51" spans="3:4">
      <c r="C51" t="s">
        <v>320</v>
      </c>
      <c r="D51" t="s">
        <v>320</v>
      </c>
    </row>
    <row r="52" spans="3:4">
      <c r="C52" t="s">
        <v>320</v>
      </c>
      <c r="D52" t="s">
        <v>320</v>
      </c>
    </row>
    <row r="53" spans="3:4">
      <c r="C53" t="s">
        <v>320</v>
      </c>
      <c r="D53" t="s">
        <v>320</v>
      </c>
    </row>
    <row r="54" spans="3:4">
      <c r="C54" t="s">
        <v>320</v>
      </c>
      <c r="D54" t="s">
        <v>320</v>
      </c>
    </row>
    <row r="55" spans="3:4">
      <c r="C55" t="s">
        <v>320</v>
      </c>
      <c r="D55" t="s">
        <v>320</v>
      </c>
    </row>
    <row r="56" spans="3:4">
      <c r="C56" t="s">
        <v>320</v>
      </c>
      <c r="D56" t="s">
        <v>320</v>
      </c>
    </row>
    <row r="57" spans="3:4">
      <c r="C57" t="s">
        <v>320</v>
      </c>
      <c r="D57" t="s">
        <v>320</v>
      </c>
    </row>
    <row r="58" spans="3:4">
      <c r="C58" t="s">
        <v>320</v>
      </c>
      <c r="D58" t="s">
        <v>320</v>
      </c>
    </row>
    <row r="59" spans="3:4">
      <c r="C59" t="s">
        <v>320</v>
      </c>
      <c r="D59" t="s">
        <v>320</v>
      </c>
    </row>
    <row r="60" spans="3:4">
      <c r="C60" t="s">
        <v>320</v>
      </c>
      <c r="D60" t="s">
        <v>320</v>
      </c>
    </row>
    <row r="61" spans="3:4">
      <c r="C61" t="s">
        <v>320</v>
      </c>
      <c r="D61" t="s">
        <v>320</v>
      </c>
    </row>
    <row r="62" spans="3:4">
      <c r="C62" t="s">
        <v>320</v>
      </c>
      <c r="D62" t="s">
        <v>320</v>
      </c>
    </row>
    <row r="63" spans="3:4">
      <c r="C63" t="s">
        <v>320</v>
      </c>
      <c r="D63" t="s">
        <v>320</v>
      </c>
    </row>
    <row r="64" spans="3:4">
      <c r="C64" t="s">
        <v>320</v>
      </c>
      <c r="D64" t="s">
        <v>320</v>
      </c>
    </row>
    <row r="65" spans="3:4">
      <c r="C65" t="s">
        <v>320</v>
      </c>
      <c r="D65" t="s">
        <v>320</v>
      </c>
    </row>
  </sheetData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318</v>
      </c>
      <c r="D7" t="s">
        <v>318</v>
      </c>
    </row>
    <row r="8" spans="3:4">
      <c r="C8" t="s">
        <v>318</v>
      </c>
      <c r="D8" t="s">
        <v>318</v>
      </c>
    </row>
    <row r="9" spans="3:4">
      <c r="C9" t="s">
        <v>318</v>
      </c>
      <c r="D9" t="s">
        <v>318</v>
      </c>
    </row>
    <row r="10" spans="3:4">
      <c r="C10" t="s">
        <v>318</v>
      </c>
      <c r="D10" t="s">
        <v>318</v>
      </c>
    </row>
    <row r="11" spans="3:4">
      <c r="C11" t="s">
        <v>318</v>
      </c>
      <c r="D11" t="s">
        <v>318</v>
      </c>
    </row>
    <row r="12" spans="3:4">
      <c r="C12" t="s">
        <v>318</v>
      </c>
      <c r="D12" t="s">
        <v>318</v>
      </c>
    </row>
    <row r="13" spans="3:4">
      <c r="C13" t="s">
        <v>318</v>
      </c>
      <c r="D13" t="s">
        <v>318</v>
      </c>
    </row>
    <row r="14" spans="3:4">
      <c r="C14" t="s">
        <v>318</v>
      </c>
      <c r="D14" t="s">
        <v>318</v>
      </c>
    </row>
    <row r="15" spans="3:4">
      <c r="C15" t="s">
        <v>318</v>
      </c>
      <c r="D15" t="s">
        <v>318</v>
      </c>
    </row>
    <row r="16" spans="3:4">
      <c r="C16" t="s">
        <v>318</v>
      </c>
      <c r="D16" t="s">
        <v>318</v>
      </c>
    </row>
    <row r="17" spans="3:4">
      <c r="C17" t="s">
        <v>318</v>
      </c>
      <c r="D17" t="s">
        <v>318</v>
      </c>
    </row>
    <row r="18" spans="3:4">
      <c r="C18" t="s">
        <v>318</v>
      </c>
      <c r="D18" t="s">
        <v>318</v>
      </c>
    </row>
    <row r="19" spans="3:4">
      <c r="C19" t="s">
        <v>318</v>
      </c>
      <c r="D19" t="s">
        <v>318</v>
      </c>
    </row>
    <row r="20" spans="3:4">
      <c r="C20" t="s">
        <v>318</v>
      </c>
      <c r="D20" t="s">
        <v>318</v>
      </c>
    </row>
    <row r="21" spans="3:4">
      <c r="C21" t="s">
        <v>318</v>
      </c>
      <c r="D21" t="s">
        <v>318</v>
      </c>
    </row>
    <row r="22" spans="3:4">
      <c r="C22" t="s">
        <v>318</v>
      </c>
      <c r="D22" t="s">
        <v>318</v>
      </c>
    </row>
    <row r="23" spans="3:4">
      <c r="C23" t="s">
        <v>318</v>
      </c>
      <c r="D23" t="s">
        <v>318</v>
      </c>
    </row>
    <row r="24" spans="3:4">
      <c r="C24" t="s">
        <v>318</v>
      </c>
      <c r="D24" t="s">
        <v>318</v>
      </c>
    </row>
    <row r="25" spans="3:4">
      <c r="C25" t="s">
        <v>318</v>
      </c>
      <c r="D25" t="s">
        <v>318</v>
      </c>
    </row>
    <row r="26" spans="3:4">
      <c r="C26" t="s">
        <v>318</v>
      </c>
      <c r="D26" t="s">
        <v>318</v>
      </c>
    </row>
    <row r="27" spans="3:4">
      <c r="C27" t="s">
        <v>318</v>
      </c>
      <c r="D27" t="s">
        <v>318</v>
      </c>
    </row>
    <row r="28" spans="3:4">
      <c r="C28" t="s">
        <v>318</v>
      </c>
      <c r="D28" t="s">
        <v>318</v>
      </c>
    </row>
    <row r="29" spans="3:4">
      <c r="C29" t="s">
        <v>318</v>
      </c>
      <c r="D29" t="s">
        <v>318</v>
      </c>
    </row>
    <row r="30" spans="3:4">
      <c r="C30" t="s">
        <v>318</v>
      </c>
      <c r="D30" t="s">
        <v>318</v>
      </c>
    </row>
    <row r="31" spans="3:4">
      <c r="C31" t="s">
        <v>318</v>
      </c>
      <c r="D31" t="s">
        <v>318</v>
      </c>
    </row>
    <row r="32" spans="3:4">
      <c r="C32" t="s">
        <v>318</v>
      </c>
      <c r="D32" t="s">
        <v>318</v>
      </c>
    </row>
    <row r="33" spans="3:4">
      <c r="C33" t="s">
        <v>318</v>
      </c>
      <c r="D33" t="s">
        <v>318</v>
      </c>
    </row>
    <row r="34" spans="3:4">
      <c r="C34" t="s">
        <v>318</v>
      </c>
      <c r="D34" t="s">
        <v>318</v>
      </c>
    </row>
    <row r="35" spans="3:4">
      <c r="C35" t="s">
        <v>318</v>
      </c>
      <c r="D35" t="s">
        <v>318</v>
      </c>
    </row>
    <row r="36" spans="3:4">
      <c r="C36" t="s">
        <v>318</v>
      </c>
      <c r="D36" t="s">
        <v>318</v>
      </c>
    </row>
    <row r="37" spans="3:4">
      <c r="C37" t="s">
        <v>318</v>
      </c>
      <c r="D37" t="s">
        <v>318</v>
      </c>
    </row>
    <row r="38" spans="3:4">
      <c r="C38" t="s">
        <v>318</v>
      </c>
      <c r="D38" t="s">
        <v>318</v>
      </c>
    </row>
    <row r="39" spans="3:4">
      <c r="C39" t="s">
        <v>318</v>
      </c>
      <c r="D39" t="s">
        <v>318</v>
      </c>
    </row>
    <row r="40" spans="3:4">
      <c r="C40" t="s">
        <v>318</v>
      </c>
      <c r="D40" t="s">
        <v>318</v>
      </c>
    </row>
    <row r="41" spans="3:4">
      <c r="C41" t="s">
        <v>318</v>
      </c>
      <c r="D41" t="s">
        <v>318</v>
      </c>
    </row>
    <row r="42" spans="3:4">
      <c r="C42" t="s">
        <v>318</v>
      </c>
      <c r="D42" t="s">
        <v>318</v>
      </c>
    </row>
    <row r="43" spans="3:4">
      <c r="C43" t="s">
        <v>318</v>
      </c>
      <c r="D43" t="s">
        <v>318</v>
      </c>
    </row>
    <row r="44" spans="3:4">
      <c r="C44" t="s">
        <v>318</v>
      </c>
      <c r="D44" t="s">
        <v>318</v>
      </c>
    </row>
    <row r="45" spans="3:4">
      <c r="C45" t="s">
        <v>318</v>
      </c>
      <c r="D45" t="s">
        <v>318</v>
      </c>
    </row>
    <row r="46" spans="3:4">
      <c r="C46" t="s">
        <v>318</v>
      </c>
      <c r="D46" t="s">
        <v>318</v>
      </c>
    </row>
    <row r="47" spans="3:4">
      <c r="C47" t="s">
        <v>318</v>
      </c>
      <c r="D47" t="s">
        <v>318</v>
      </c>
    </row>
    <row r="48" spans="3:4">
      <c r="C48" t="s">
        <v>318</v>
      </c>
      <c r="D48" t="s">
        <v>318</v>
      </c>
    </row>
    <row r="49" spans="3:4">
      <c r="C49" t="s">
        <v>318</v>
      </c>
      <c r="D49" t="s">
        <v>318</v>
      </c>
    </row>
    <row r="50" spans="3:4">
      <c r="C50" t="s">
        <v>318</v>
      </c>
      <c r="D50" t="s">
        <v>318</v>
      </c>
    </row>
    <row r="51" spans="3:4">
      <c r="C51" t="s">
        <v>318</v>
      </c>
      <c r="D51" t="s">
        <v>318</v>
      </c>
    </row>
    <row r="52" spans="3:4">
      <c r="C52" t="s">
        <v>318</v>
      </c>
      <c r="D52" t="s">
        <v>318</v>
      </c>
    </row>
    <row r="53" spans="3:4">
      <c r="C53" t="s">
        <v>318</v>
      </c>
      <c r="D53" t="s">
        <v>318</v>
      </c>
    </row>
    <row r="54" spans="3:4">
      <c r="C54" t="s">
        <v>318</v>
      </c>
      <c r="D54" t="s">
        <v>318</v>
      </c>
    </row>
    <row r="55" spans="3:4">
      <c r="C55" t="s">
        <v>318</v>
      </c>
      <c r="D55" t="s">
        <v>318</v>
      </c>
    </row>
    <row r="56" spans="3:4">
      <c r="C56" t="s">
        <v>318</v>
      </c>
      <c r="D56" t="s">
        <v>318</v>
      </c>
    </row>
    <row r="57" spans="3:4">
      <c r="C57" t="s">
        <v>318</v>
      </c>
      <c r="D57" t="s">
        <v>318</v>
      </c>
    </row>
    <row r="58" spans="3:4">
      <c r="C58" t="s">
        <v>318</v>
      </c>
      <c r="D58" t="s">
        <v>318</v>
      </c>
    </row>
    <row r="59" spans="3:4">
      <c r="C59" t="s">
        <v>318</v>
      </c>
      <c r="D59" t="s">
        <v>318</v>
      </c>
    </row>
    <row r="60" spans="3:4">
      <c r="C60" t="s">
        <v>318</v>
      </c>
      <c r="D60" t="s">
        <v>318</v>
      </c>
    </row>
    <row r="61" spans="3:4">
      <c r="C61" t="s">
        <v>318</v>
      </c>
      <c r="D61" t="s">
        <v>318</v>
      </c>
    </row>
    <row r="62" spans="3:4">
      <c r="C62" t="s">
        <v>318</v>
      </c>
      <c r="D62" t="s">
        <v>318</v>
      </c>
    </row>
    <row r="63" spans="3:4">
      <c r="C63" t="s">
        <v>318</v>
      </c>
      <c r="D63" t="s">
        <v>318</v>
      </c>
    </row>
    <row r="64" spans="3:4">
      <c r="C64" t="s">
        <v>318</v>
      </c>
      <c r="D64" t="s">
        <v>318</v>
      </c>
    </row>
    <row r="65" spans="3:4">
      <c r="C65" t="s">
        <v>318</v>
      </c>
      <c r="D65" t="s">
        <v>318</v>
      </c>
    </row>
  </sheetData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316</v>
      </c>
      <c r="D7" t="s">
        <v>316</v>
      </c>
    </row>
    <row r="8" spans="3:4">
      <c r="C8" t="s">
        <v>316</v>
      </c>
      <c r="D8" t="s">
        <v>316</v>
      </c>
    </row>
    <row r="9" spans="3:4">
      <c r="C9" t="s">
        <v>316</v>
      </c>
      <c r="D9" t="s">
        <v>316</v>
      </c>
    </row>
    <row r="10" spans="3:4">
      <c r="C10" t="s">
        <v>316</v>
      </c>
      <c r="D10" t="s">
        <v>316</v>
      </c>
    </row>
    <row r="11" spans="3:4">
      <c r="C11" t="s">
        <v>316</v>
      </c>
      <c r="D11" t="s">
        <v>316</v>
      </c>
    </row>
    <row r="12" spans="3:4">
      <c r="C12" t="s">
        <v>316</v>
      </c>
      <c r="D12" t="s">
        <v>316</v>
      </c>
    </row>
    <row r="13" spans="3:4">
      <c r="C13" t="s">
        <v>316</v>
      </c>
      <c r="D13" t="s">
        <v>316</v>
      </c>
    </row>
    <row r="14" spans="3:4">
      <c r="C14" t="s">
        <v>316</v>
      </c>
      <c r="D14" t="s">
        <v>316</v>
      </c>
    </row>
    <row r="15" spans="3:4">
      <c r="C15" t="s">
        <v>316</v>
      </c>
      <c r="D15" t="s">
        <v>316</v>
      </c>
    </row>
    <row r="16" spans="3:4">
      <c r="C16" t="s">
        <v>316</v>
      </c>
      <c r="D16" t="s">
        <v>316</v>
      </c>
    </row>
    <row r="17" spans="3:4">
      <c r="C17" t="s">
        <v>316</v>
      </c>
      <c r="D17" t="s">
        <v>316</v>
      </c>
    </row>
    <row r="18" spans="3:4">
      <c r="C18" t="s">
        <v>316</v>
      </c>
      <c r="D18" t="s">
        <v>316</v>
      </c>
    </row>
    <row r="19" spans="3:4">
      <c r="C19" t="s">
        <v>316</v>
      </c>
      <c r="D19" t="s">
        <v>316</v>
      </c>
    </row>
    <row r="20" spans="3:4">
      <c r="C20" t="s">
        <v>316</v>
      </c>
      <c r="D20" t="s">
        <v>316</v>
      </c>
    </row>
    <row r="21" spans="3:4">
      <c r="C21" t="s">
        <v>316</v>
      </c>
      <c r="D21" t="s">
        <v>316</v>
      </c>
    </row>
    <row r="22" spans="3:4">
      <c r="C22" t="s">
        <v>316</v>
      </c>
      <c r="D22" t="s">
        <v>316</v>
      </c>
    </row>
    <row r="23" spans="3:4">
      <c r="C23" t="s">
        <v>316</v>
      </c>
      <c r="D23" t="s">
        <v>316</v>
      </c>
    </row>
    <row r="24" spans="3:4">
      <c r="C24" t="s">
        <v>316</v>
      </c>
      <c r="D24" t="s">
        <v>316</v>
      </c>
    </row>
    <row r="25" spans="3:4">
      <c r="C25" t="s">
        <v>316</v>
      </c>
      <c r="D25" t="s">
        <v>316</v>
      </c>
    </row>
    <row r="26" spans="3:4">
      <c r="C26" t="s">
        <v>316</v>
      </c>
      <c r="D26" t="s">
        <v>316</v>
      </c>
    </row>
    <row r="27" spans="3:4">
      <c r="C27" t="s">
        <v>316</v>
      </c>
      <c r="D27" t="s">
        <v>316</v>
      </c>
    </row>
    <row r="28" spans="3:4">
      <c r="C28" t="s">
        <v>316</v>
      </c>
      <c r="D28" t="s">
        <v>316</v>
      </c>
    </row>
    <row r="29" spans="3:4">
      <c r="C29" t="s">
        <v>316</v>
      </c>
      <c r="D29" t="s">
        <v>316</v>
      </c>
    </row>
    <row r="30" spans="3:4">
      <c r="C30" t="s">
        <v>316</v>
      </c>
      <c r="D30" t="s">
        <v>316</v>
      </c>
    </row>
    <row r="31" spans="3:4">
      <c r="C31" t="s">
        <v>316</v>
      </c>
      <c r="D31" t="s">
        <v>316</v>
      </c>
    </row>
    <row r="32" spans="3:4">
      <c r="C32" t="s">
        <v>316</v>
      </c>
      <c r="D32" t="s">
        <v>316</v>
      </c>
    </row>
    <row r="33" spans="3:4">
      <c r="C33" t="s">
        <v>316</v>
      </c>
      <c r="D33" t="s">
        <v>316</v>
      </c>
    </row>
    <row r="34" spans="3:4">
      <c r="C34" t="s">
        <v>316</v>
      </c>
      <c r="D34" t="s">
        <v>316</v>
      </c>
    </row>
    <row r="35" spans="3:4">
      <c r="C35" t="s">
        <v>316</v>
      </c>
      <c r="D35" t="s">
        <v>316</v>
      </c>
    </row>
    <row r="36" spans="3:4">
      <c r="C36" t="s">
        <v>316</v>
      </c>
      <c r="D36" t="s">
        <v>316</v>
      </c>
    </row>
    <row r="37" spans="3:4">
      <c r="C37" t="s">
        <v>316</v>
      </c>
      <c r="D37" t="s">
        <v>316</v>
      </c>
    </row>
    <row r="38" spans="3:4">
      <c r="C38" t="s">
        <v>316</v>
      </c>
      <c r="D38" t="s">
        <v>316</v>
      </c>
    </row>
    <row r="39" spans="3:4">
      <c r="C39" t="s">
        <v>316</v>
      </c>
      <c r="D39" t="s">
        <v>316</v>
      </c>
    </row>
    <row r="40" spans="3:4">
      <c r="C40" t="s">
        <v>316</v>
      </c>
      <c r="D40" t="s">
        <v>316</v>
      </c>
    </row>
    <row r="41" spans="3:4">
      <c r="C41" t="s">
        <v>316</v>
      </c>
      <c r="D41" t="s">
        <v>316</v>
      </c>
    </row>
    <row r="42" spans="3:4">
      <c r="C42" t="s">
        <v>316</v>
      </c>
      <c r="D42" t="s">
        <v>316</v>
      </c>
    </row>
    <row r="43" spans="3:4">
      <c r="C43" t="s">
        <v>316</v>
      </c>
      <c r="D43" t="s">
        <v>316</v>
      </c>
    </row>
    <row r="44" spans="3:4">
      <c r="C44" t="s">
        <v>316</v>
      </c>
      <c r="D44" t="s">
        <v>316</v>
      </c>
    </row>
    <row r="45" spans="3:4">
      <c r="C45" t="s">
        <v>316</v>
      </c>
      <c r="D45" t="s">
        <v>316</v>
      </c>
    </row>
    <row r="46" spans="3:4">
      <c r="C46" t="s">
        <v>316</v>
      </c>
      <c r="D46" t="s">
        <v>316</v>
      </c>
    </row>
    <row r="47" spans="3:4">
      <c r="C47" t="s">
        <v>316</v>
      </c>
      <c r="D47" t="s">
        <v>316</v>
      </c>
    </row>
    <row r="48" spans="3:4">
      <c r="C48" t="s">
        <v>316</v>
      </c>
      <c r="D48" t="s">
        <v>316</v>
      </c>
    </row>
    <row r="49" spans="3:4">
      <c r="C49" t="s">
        <v>316</v>
      </c>
      <c r="D49" t="s">
        <v>316</v>
      </c>
    </row>
    <row r="50" spans="3:4">
      <c r="C50" t="s">
        <v>316</v>
      </c>
      <c r="D50" t="s">
        <v>316</v>
      </c>
    </row>
    <row r="51" spans="3:4">
      <c r="C51" t="s">
        <v>316</v>
      </c>
      <c r="D51" t="s">
        <v>316</v>
      </c>
    </row>
    <row r="52" spans="3:4">
      <c r="C52" t="s">
        <v>316</v>
      </c>
      <c r="D52" t="s">
        <v>316</v>
      </c>
    </row>
    <row r="53" spans="3:4">
      <c r="C53" t="s">
        <v>316</v>
      </c>
      <c r="D53" t="s">
        <v>316</v>
      </c>
    </row>
    <row r="54" spans="3:4">
      <c r="C54" t="s">
        <v>316</v>
      </c>
      <c r="D54" t="s">
        <v>316</v>
      </c>
    </row>
    <row r="55" spans="3:4">
      <c r="C55" t="s">
        <v>316</v>
      </c>
      <c r="D55" t="s">
        <v>316</v>
      </c>
    </row>
    <row r="56" spans="3:4">
      <c r="C56" t="s">
        <v>316</v>
      </c>
      <c r="D56" t="s">
        <v>316</v>
      </c>
    </row>
    <row r="57" spans="3:4">
      <c r="C57" t="s">
        <v>316</v>
      </c>
      <c r="D57" t="s">
        <v>316</v>
      </c>
    </row>
    <row r="58" spans="3:4">
      <c r="C58" t="s">
        <v>316</v>
      </c>
      <c r="D58" t="s">
        <v>316</v>
      </c>
    </row>
    <row r="59" spans="3:4">
      <c r="C59" t="s">
        <v>316</v>
      </c>
      <c r="D59" t="s">
        <v>316</v>
      </c>
    </row>
    <row r="60" spans="3:4">
      <c r="C60" t="s">
        <v>316</v>
      </c>
      <c r="D60" t="s">
        <v>316</v>
      </c>
    </row>
    <row r="61" spans="3:4">
      <c r="C61" t="s">
        <v>316</v>
      </c>
      <c r="D61" t="s">
        <v>316</v>
      </c>
    </row>
    <row r="62" spans="3:4">
      <c r="C62" t="s">
        <v>316</v>
      </c>
      <c r="D62" t="s">
        <v>316</v>
      </c>
    </row>
    <row r="63" spans="3:4">
      <c r="C63" t="s">
        <v>316</v>
      </c>
      <c r="D63" t="s">
        <v>316</v>
      </c>
    </row>
    <row r="64" spans="3:4">
      <c r="C64" t="s">
        <v>316</v>
      </c>
      <c r="D64" t="s">
        <v>316</v>
      </c>
    </row>
    <row r="65" spans="3:4">
      <c r="C65" t="s">
        <v>316</v>
      </c>
      <c r="D65" t="s">
        <v>316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F15" sqref="F15"/>
    </sheetView>
  </sheetViews>
  <sheetFormatPr defaultColWidth="11.7109375" defaultRowHeight="15"/>
  <cols>
    <col min="1" max="1" width="62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239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3346885.65</v>
      </c>
      <c r="D8" s="11">
        <f>D9+D11+D14+D15</f>
        <v>3396825.79</v>
      </c>
    </row>
    <row r="9" spans="1:4" ht="30">
      <c r="A9" s="12" t="s">
        <v>90</v>
      </c>
      <c r="B9" s="13" t="s">
        <v>91</v>
      </c>
      <c r="C9" s="14">
        <f>3189440.58</f>
        <v>3189440.58</v>
      </c>
      <c r="D9" s="15">
        <f>2979705.35</f>
        <v>2979705.35</v>
      </c>
    </row>
    <row r="10" spans="1:4">
      <c r="A10" s="16" t="s">
        <v>92</v>
      </c>
      <c r="B10" s="17" t="s">
        <v>93</v>
      </c>
      <c r="C10" s="18">
        <f>2001329.53917051</f>
        <v>2001329.5391705099</v>
      </c>
      <c r="D10" s="19">
        <f>_27h_E12</f>
        <v>2001329.5391705099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 ht="21.75" customHeight="1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157445.07</v>
      </c>
      <c r="D15" s="15">
        <f>SUM(D16:D24)</f>
        <v>417120.43999999994</v>
      </c>
    </row>
    <row r="16" spans="1:4">
      <c r="A16" s="22" t="s">
        <v>103</v>
      </c>
      <c r="B16" s="17" t="s">
        <v>104</v>
      </c>
      <c r="C16" s="111">
        <v>77802.12</v>
      </c>
      <c r="D16" s="113">
        <v>346830.24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59256.33</f>
        <v>59256.33</v>
      </c>
      <c r="D18" s="19">
        <f>49899.1</f>
        <v>49899.1</v>
      </c>
    </row>
    <row r="19" spans="1:4">
      <c r="A19" s="22" t="s">
        <v>109</v>
      </c>
      <c r="B19" s="17" t="s">
        <v>110</v>
      </c>
      <c r="C19" s="18">
        <f>12088.48</f>
        <v>12088.48</v>
      </c>
      <c r="D19" s="19">
        <f>12096.6</f>
        <v>12096.6</v>
      </c>
    </row>
    <row r="20" spans="1:4">
      <c r="A20" s="22" t="s">
        <v>111</v>
      </c>
      <c r="B20" s="17" t="s">
        <v>112</v>
      </c>
      <c r="C20" s="18">
        <f>8298.14</f>
        <v>8298.14</v>
      </c>
      <c r="D20" s="19">
        <f>8294.5</f>
        <v>8294.5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1455382.7100000298</v>
      </c>
      <c r="D25" s="15">
        <f>D26+D27+D30+D28+D29+D31</f>
        <v>1462637.35</v>
      </c>
    </row>
    <row r="26" spans="1:4" ht="18.75" customHeight="1">
      <c r="A26" s="24" t="s">
        <v>123</v>
      </c>
      <c r="B26" s="20" t="s">
        <v>124</v>
      </c>
      <c r="C26" s="18">
        <f>680223.84</f>
        <v>680223.84</v>
      </c>
      <c r="D26" s="19">
        <f>677861.93</f>
        <v>677861.93</v>
      </c>
    </row>
    <row r="27" spans="1:4" ht="34.5" customHeight="1">
      <c r="A27" s="24" t="s">
        <v>125</v>
      </c>
      <c r="B27" s="20" t="s">
        <v>126</v>
      </c>
      <c r="C27" s="18">
        <f>54279</f>
        <v>54279</v>
      </c>
      <c r="D27" s="19">
        <f>54264.02</f>
        <v>54264.02</v>
      </c>
    </row>
    <row r="28" spans="1:4" ht="33.7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56576.04</f>
        <v>56576.04</v>
      </c>
      <c r="D29" s="19">
        <f>56081.45</f>
        <v>56081.45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255847.83000002982</v>
      </c>
      <c r="D31" s="15">
        <f>SUM(D32:D39)</f>
        <v>265973.95</v>
      </c>
    </row>
    <row r="32" spans="1:4" ht="18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79152.67</f>
        <v>79152.67</v>
      </c>
      <c r="D33" s="19">
        <f>90396.73</f>
        <v>90396.73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</f>
        <v>129630.1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2.98023223876953E-08</f>
        <v>2.9802322387695299E-8</v>
      </c>
      <c r="D39" s="19">
        <f>0</f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0.2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34106.520000000004</v>
      </c>
      <c r="D45" s="27">
        <f>SUM(D46:D48)</f>
        <v>26687.100000000002</v>
      </c>
    </row>
    <row r="46" spans="1:4">
      <c r="A46" s="21" t="s">
        <v>163</v>
      </c>
      <c r="B46" s="17" t="s">
        <v>164</v>
      </c>
      <c r="C46" s="18">
        <f>32785.8</f>
        <v>32785.800000000003</v>
      </c>
      <c r="D46" s="19">
        <f>25366.38</f>
        <v>25366.38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382441.92</f>
        <v>382441.92</v>
      </c>
      <c r="D49" s="30">
        <f>332666.56</f>
        <v>332666.56</v>
      </c>
    </row>
    <row r="50" spans="1:4">
      <c r="A50" s="8" t="s">
        <v>169</v>
      </c>
      <c r="B50" s="9" t="s">
        <v>170</v>
      </c>
      <c r="C50" s="14">
        <f>C8+C25+C40+C41+C42+C43+C44+C45+C49+C51+C52</f>
        <v>5218816.8000000287</v>
      </c>
      <c r="D50" s="15">
        <f>D8+D25+D40+D41+D42+D43+D44+D45+D49+D51+D52</f>
        <v>5218816.8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2977900.08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2870501.52</f>
        <v>2870501.52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107398.56</f>
        <v>107398.56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1531920</f>
        <v>1531920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4509820.08</v>
      </c>
      <c r="D59" s="27">
        <f>D54+D57+D58</f>
        <v>0</v>
      </c>
    </row>
    <row r="60" spans="1:4" ht="25.5">
      <c r="A60" s="33" t="s">
        <v>188</v>
      </c>
      <c r="B60" s="9"/>
      <c r="C60" s="34">
        <v>19372</v>
      </c>
      <c r="D60" s="35">
        <v>19372</v>
      </c>
    </row>
    <row r="61" spans="1:4" ht="15.75" thickBot="1">
      <c r="A61" s="36" t="s">
        <v>189</v>
      </c>
      <c r="B61" s="37"/>
      <c r="C61" s="38">
        <f>(C50+C51+C52)/C60/12</f>
        <v>22.45000000000012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315</v>
      </c>
      <c r="D7" t="s">
        <v>315</v>
      </c>
    </row>
    <row r="8" spans="3:4">
      <c r="C8" t="s">
        <v>315</v>
      </c>
      <c r="D8" t="s">
        <v>315</v>
      </c>
    </row>
    <row r="9" spans="3:4">
      <c r="C9" t="s">
        <v>315</v>
      </c>
      <c r="D9" t="s">
        <v>315</v>
      </c>
    </row>
    <row r="10" spans="3:4">
      <c r="C10" t="s">
        <v>315</v>
      </c>
      <c r="D10" t="s">
        <v>315</v>
      </c>
    </row>
    <row r="11" spans="3:4">
      <c r="C11" t="s">
        <v>315</v>
      </c>
      <c r="D11" t="s">
        <v>315</v>
      </c>
    </row>
    <row r="12" spans="3:4">
      <c r="C12" t="s">
        <v>315</v>
      </c>
      <c r="D12" t="s">
        <v>315</v>
      </c>
    </row>
    <row r="13" spans="3:4">
      <c r="C13" t="s">
        <v>315</v>
      </c>
      <c r="D13" t="s">
        <v>315</v>
      </c>
    </row>
    <row r="14" spans="3:4">
      <c r="C14" t="s">
        <v>315</v>
      </c>
      <c r="D14" t="s">
        <v>315</v>
      </c>
    </row>
    <row r="15" spans="3:4">
      <c r="C15" t="s">
        <v>315</v>
      </c>
      <c r="D15" t="s">
        <v>315</v>
      </c>
    </row>
    <row r="16" spans="3:4">
      <c r="C16" t="s">
        <v>315</v>
      </c>
      <c r="D16" t="s">
        <v>315</v>
      </c>
    </row>
    <row r="17" spans="3:4">
      <c r="C17" t="s">
        <v>315</v>
      </c>
      <c r="D17" t="s">
        <v>315</v>
      </c>
    </row>
    <row r="18" spans="3:4">
      <c r="C18" t="s">
        <v>315</v>
      </c>
      <c r="D18" t="s">
        <v>315</v>
      </c>
    </row>
    <row r="19" spans="3:4">
      <c r="C19" t="s">
        <v>315</v>
      </c>
      <c r="D19" t="s">
        <v>315</v>
      </c>
    </row>
    <row r="20" spans="3:4">
      <c r="C20" t="s">
        <v>315</v>
      </c>
      <c r="D20" t="s">
        <v>315</v>
      </c>
    </row>
    <row r="21" spans="3:4">
      <c r="C21" t="s">
        <v>315</v>
      </c>
      <c r="D21" t="s">
        <v>315</v>
      </c>
    </row>
    <row r="22" spans="3:4">
      <c r="C22" t="s">
        <v>315</v>
      </c>
      <c r="D22" t="s">
        <v>315</v>
      </c>
    </row>
    <row r="23" spans="3:4">
      <c r="C23" t="s">
        <v>315</v>
      </c>
      <c r="D23" t="s">
        <v>315</v>
      </c>
    </row>
    <row r="24" spans="3:4">
      <c r="C24" t="s">
        <v>315</v>
      </c>
      <c r="D24" t="s">
        <v>315</v>
      </c>
    </row>
    <row r="25" spans="3:4">
      <c r="C25" t="s">
        <v>315</v>
      </c>
      <c r="D25" t="s">
        <v>315</v>
      </c>
    </row>
    <row r="26" spans="3:4">
      <c r="C26" t="s">
        <v>315</v>
      </c>
      <c r="D26" t="s">
        <v>315</v>
      </c>
    </row>
    <row r="27" spans="3:4">
      <c r="C27" t="s">
        <v>315</v>
      </c>
      <c r="D27" t="s">
        <v>315</v>
      </c>
    </row>
    <row r="28" spans="3:4">
      <c r="C28" t="s">
        <v>315</v>
      </c>
      <c r="D28" t="s">
        <v>315</v>
      </c>
    </row>
    <row r="29" spans="3:4">
      <c r="C29" t="s">
        <v>315</v>
      </c>
      <c r="D29" t="s">
        <v>315</v>
      </c>
    </row>
    <row r="30" spans="3:4">
      <c r="C30" t="s">
        <v>315</v>
      </c>
      <c r="D30" t="s">
        <v>315</v>
      </c>
    </row>
    <row r="31" spans="3:4">
      <c r="C31" t="s">
        <v>315</v>
      </c>
      <c r="D31" t="s">
        <v>315</v>
      </c>
    </row>
    <row r="32" spans="3:4">
      <c r="C32" t="s">
        <v>315</v>
      </c>
      <c r="D32" t="s">
        <v>315</v>
      </c>
    </row>
    <row r="33" spans="3:4">
      <c r="C33" t="s">
        <v>315</v>
      </c>
      <c r="D33" t="s">
        <v>315</v>
      </c>
    </row>
    <row r="34" spans="3:4">
      <c r="C34" t="s">
        <v>315</v>
      </c>
      <c r="D34" t="s">
        <v>315</v>
      </c>
    </row>
    <row r="35" spans="3:4">
      <c r="C35" t="s">
        <v>315</v>
      </c>
      <c r="D35" t="s">
        <v>315</v>
      </c>
    </row>
    <row r="36" spans="3:4">
      <c r="C36" t="s">
        <v>315</v>
      </c>
      <c r="D36" t="s">
        <v>315</v>
      </c>
    </row>
    <row r="37" spans="3:4">
      <c r="C37" t="s">
        <v>315</v>
      </c>
      <c r="D37" t="s">
        <v>315</v>
      </c>
    </row>
    <row r="38" spans="3:4">
      <c r="C38" t="s">
        <v>315</v>
      </c>
      <c r="D38" t="s">
        <v>315</v>
      </c>
    </row>
    <row r="39" spans="3:4">
      <c r="C39" t="s">
        <v>315</v>
      </c>
      <c r="D39" t="s">
        <v>315</v>
      </c>
    </row>
    <row r="40" spans="3:4">
      <c r="C40" t="s">
        <v>315</v>
      </c>
      <c r="D40" t="s">
        <v>315</v>
      </c>
    </row>
    <row r="41" spans="3:4">
      <c r="C41" t="s">
        <v>315</v>
      </c>
      <c r="D41" t="s">
        <v>315</v>
      </c>
    </row>
    <row r="42" spans="3:4">
      <c r="C42" t="s">
        <v>315</v>
      </c>
      <c r="D42" t="s">
        <v>315</v>
      </c>
    </row>
    <row r="43" spans="3:4">
      <c r="C43" t="s">
        <v>315</v>
      </c>
      <c r="D43" t="s">
        <v>315</v>
      </c>
    </row>
    <row r="44" spans="3:4">
      <c r="C44" t="s">
        <v>315</v>
      </c>
      <c r="D44" t="s">
        <v>315</v>
      </c>
    </row>
    <row r="45" spans="3:4">
      <c r="C45" t="s">
        <v>315</v>
      </c>
      <c r="D45" t="s">
        <v>315</v>
      </c>
    </row>
    <row r="46" spans="3:4">
      <c r="C46" t="s">
        <v>315</v>
      </c>
      <c r="D46" t="s">
        <v>315</v>
      </c>
    </row>
    <row r="47" spans="3:4">
      <c r="C47" t="s">
        <v>315</v>
      </c>
      <c r="D47" t="s">
        <v>315</v>
      </c>
    </row>
    <row r="48" spans="3:4">
      <c r="C48" t="s">
        <v>315</v>
      </c>
      <c r="D48" t="s">
        <v>315</v>
      </c>
    </row>
    <row r="49" spans="3:4">
      <c r="C49" t="s">
        <v>315</v>
      </c>
      <c r="D49" t="s">
        <v>315</v>
      </c>
    </row>
    <row r="50" spans="3:4">
      <c r="C50" t="s">
        <v>315</v>
      </c>
      <c r="D50" t="s">
        <v>315</v>
      </c>
    </row>
    <row r="51" spans="3:4">
      <c r="C51" t="s">
        <v>315</v>
      </c>
      <c r="D51" t="s">
        <v>315</v>
      </c>
    </row>
    <row r="52" spans="3:4">
      <c r="C52" t="s">
        <v>315</v>
      </c>
      <c r="D52" t="s">
        <v>315</v>
      </c>
    </row>
    <row r="53" spans="3:4">
      <c r="C53" t="s">
        <v>315</v>
      </c>
      <c r="D53" t="s">
        <v>315</v>
      </c>
    </row>
    <row r="54" spans="3:4">
      <c r="C54" t="s">
        <v>315</v>
      </c>
      <c r="D54" t="s">
        <v>315</v>
      </c>
    </row>
    <row r="55" spans="3:4">
      <c r="C55" t="s">
        <v>315</v>
      </c>
      <c r="D55" t="s">
        <v>315</v>
      </c>
    </row>
    <row r="56" spans="3:4">
      <c r="C56" t="s">
        <v>315</v>
      </c>
      <c r="D56" t="s">
        <v>315</v>
      </c>
    </row>
    <row r="57" spans="3:4">
      <c r="C57" t="s">
        <v>315</v>
      </c>
      <c r="D57" t="s">
        <v>315</v>
      </c>
    </row>
    <row r="58" spans="3:4">
      <c r="C58" t="s">
        <v>315</v>
      </c>
      <c r="D58" t="s">
        <v>315</v>
      </c>
    </row>
    <row r="59" spans="3:4">
      <c r="C59" t="s">
        <v>315</v>
      </c>
      <c r="D59" t="s">
        <v>315</v>
      </c>
    </row>
    <row r="60" spans="3:4">
      <c r="C60" t="s">
        <v>315</v>
      </c>
      <c r="D60" t="s">
        <v>315</v>
      </c>
    </row>
    <row r="61" spans="3:4">
      <c r="C61" t="s">
        <v>315</v>
      </c>
      <c r="D61" t="s">
        <v>315</v>
      </c>
    </row>
    <row r="62" spans="3:4">
      <c r="C62" t="s">
        <v>315</v>
      </c>
      <c r="D62" t="s">
        <v>315</v>
      </c>
    </row>
    <row r="63" spans="3:4">
      <c r="C63" t="s">
        <v>315</v>
      </c>
      <c r="D63" t="s">
        <v>315</v>
      </c>
    </row>
    <row r="64" spans="3:4">
      <c r="C64" t="s">
        <v>315</v>
      </c>
      <c r="D64" t="s">
        <v>315</v>
      </c>
    </row>
    <row r="65" spans="3:4">
      <c r="C65" t="s">
        <v>315</v>
      </c>
      <c r="D65" t="s">
        <v>315</v>
      </c>
    </row>
  </sheetData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313</v>
      </c>
      <c r="D7" t="s">
        <v>313</v>
      </c>
    </row>
    <row r="8" spans="3:4">
      <c r="C8" t="s">
        <v>313</v>
      </c>
      <c r="D8" t="s">
        <v>313</v>
      </c>
    </row>
    <row r="9" spans="3:4">
      <c r="C9" t="s">
        <v>313</v>
      </c>
      <c r="D9" t="s">
        <v>313</v>
      </c>
    </row>
    <row r="10" spans="3:4">
      <c r="C10" t="s">
        <v>313</v>
      </c>
      <c r="D10" t="s">
        <v>313</v>
      </c>
    </row>
    <row r="11" spans="3:4">
      <c r="C11" t="s">
        <v>313</v>
      </c>
      <c r="D11" t="s">
        <v>313</v>
      </c>
    </row>
    <row r="12" spans="3:4">
      <c r="C12" t="s">
        <v>313</v>
      </c>
      <c r="D12" t="s">
        <v>313</v>
      </c>
    </row>
    <row r="13" spans="3:4">
      <c r="C13" t="s">
        <v>313</v>
      </c>
      <c r="D13" t="s">
        <v>313</v>
      </c>
    </row>
    <row r="14" spans="3:4">
      <c r="C14" t="s">
        <v>313</v>
      </c>
      <c r="D14" t="s">
        <v>313</v>
      </c>
    </row>
    <row r="15" spans="3:4">
      <c r="C15" t="s">
        <v>313</v>
      </c>
      <c r="D15" t="s">
        <v>313</v>
      </c>
    </row>
    <row r="16" spans="3:4">
      <c r="C16" t="s">
        <v>313</v>
      </c>
      <c r="D16" t="s">
        <v>313</v>
      </c>
    </row>
    <row r="17" spans="3:4">
      <c r="C17" t="s">
        <v>313</v>
      </c>
      <c r="D17" t="s">
        <v>313</v>
      </c>
    </row>
    <row r="18" spans="3:4">
      <c r="C18" t="s">
        <v>313</v>
      </c>
      <c r="D18" t="s">
        <v>313</v>
      </c>
    </row>
    <row r="19" spans="3:4">
      <c r="C19" t="s">
        <v>313</v>
      </c>
      <c r="D19" t="s">
        <v>313</v>
      </c>
    </row>
    <row r="20" spans="3:4">
      <c r="C20" t="s">
        <v>313</v>
      </c>
      <c r="D20" t="s">
        <v>313</v>
      </c>
    </row>
    <row r="21" spans="3:4">
      <c r="C21" t="s">
        <v>313</v>
      </c>
      <c r="D21" t="s">
        <v>313</v>
      </c>
    </row>
    <row r="22" spans="3:4">
      <c r="C22" t="s">
        <v>313</v>
      </c>
      <c r="D22" t="s">
        <v>313</v>
      </c>
    </row>
    <row r="23" spans="3:4">
      <c r="C23" t="s">
        <v>313</v>
      </c>
      <c r="D23" t="s">
        <v>313</v>
      </c>
    </row>
    <row r="24" spans="3:4">
      <c r="C24" t="s">
        <v>313</v>
      </c>
      <c r="D24" t="s">
        <v>313</v>
      </c>
    </row>
    <row r="25" spans="3:4">
      <c r="C25" t="s">
        <v>313</v>
      </c>
      <c r="D25" t="s">
        <v>313</v>
      </c>
    </row>
    <row r="26" spans="3:4">
      <c r="C26" t="s">
        <v>313</v>
      </c>
      <c r="D26" t="s">
        <v>313</v>
      </c>
    </row>
    <row r="27" spans="3:4">
      <c r="C27" t="s">
        <v>313</v>
      </c>
      <c r="D27" t="s">
        <v>313</v>
      </c>
    </row>
    <row r="28" spans="3:4">
      <c r="C28" t="s">
        <v>313</v>
      </c>
      <c r="D28" t="s">
        <v>313</v>
      </c>
    </row>
    <row r="29" spans="3:4">
      <c r="C29" t="s">
        <v>313</v>
      </c>
      <c r="D29" t="s">
        <v>313</v>
      </c>
    </row>
    <row r="30" spans="3:4">
      <c r="C30" t="s">
        <v>313</v>
      </c>
      <c r="D30" t="s">
        <v>313</v>
      </c>
    </row>
    <row r="31" spans="3:4">
      <c r="C31" t="s">
        <v>313</v>
      </c>
      <c r="D31" t="s">
        <v>313</v>
      </c>
    </row>
    <row r="32" spans="3:4">
      <c r="C32" t="s">
        <v>313</v>
      </c>
      <c r="D32" t="s">
        <v>313</v>
      </c>
    </row>
    <row r="33" spans="3:4">
      <c r="C33" t="s">
        <v>313</v>
      </c>
      <c r="D33" t="s">
        <v>313</v>
      </c>
    </row>
    <row r="34" spans="3:4">
      <c r="C34" t="s">
        <v>313</v>
      </c>
      <c r="D34" t="s">
        <v>313</v>
      </c>
    </row>
    <row r="35" spans="3:4">
      <c r="C35" t="s">
        <v>313</v>
      </c>
      <c r="D35" t="s">
        <v>313</v>
      </c>
    </row>
    <row r="36" spans="3:4">
      <c r="C36" t="s">
        <v>313</v>
      </c>
      <c r="D36" t="s">
        <v>313</v>
      </c>
    </row>
    <row r="37" spans="3:4">
      <c r="C37" t="s">
        <v>313</v>
      </c>
      <c r="D37" t="s">
        <v>313</v>
      </c>
    </row>
    <row r="38" spans="3:4">
      <c r="C38" t="s">
        <v>313</v>
      </c>
      <c r="D38" t="s">
        <v>313</v>
      </c>
    </row>
    <row r="39" spans="3:4">
      <c r="C39" t="s">
        <v>313</v>
      </c>
      <c r="D39" t="s">
        <v>313</v>
      </c>
    </row>
    <row r="40" spans="3:4">
      <c r="C40" t="s">
        <v>313</v>
      </c>
      <c r="D40" t="s">
        <v>313</v>
      </c>
    </row>
    <row r="41" spans="3:4">
      <c r="C41" t="s">
        <v>313</v>
      </c>
      <c r="D41" t="s">
        <v>313</v>
      </c>
    </row>
    <row r="42" spans="3:4">
      <c r="C42" t="s">
        <v>313</v>
      </c>
      <c r="D42" t="s">
        <v>313</v>
      </c>
    </row>
    <row r="43" spans="3:4">
      <c r="C43" t="s">
        <v>313</v>
      </c>
      <c r="D43" t="s">
        <v>313</v>
      </c>
    </row>
    <row r="44" spans="3:4">
      <c r="C44" t="s">
        <v>313</v>
      </c>
      <c r="D44" t="s">
        <v>313</v>
      </c>
    </row>
    <row r="45" spans="3:4">
      <c r="C45" t="s">
        <v>313</v>
      </c>
      <c r="D45" t="s">
        <v>313</v>
      </c>
    </row>
    <row r="46" spans="3:4">
      <c r="C46" t="s">
        <v>313</v>
      </c>
      <c r="D46" t="s">
        <v>313</v>
      </c>
    </row>
    <row r="47" spans="3:4">
      <c r="C47" t="s">
        <v>313</v>
      </c>
      <c r="D47" t="s">
        <v>313</v>
      </c>
    </row>
    <row r="48" spans="3:4">
      <c r="C48" t="s">
        <v>313</v>
      </c>
      <c r="D48" t="s">
        <v>313</v>
      </c>
    </row>
    <row r="49" spans="3:4">
      <c r="C49" t="s">
        <v>313</v>
      </c>
      <c r="D49" t="s">
        <v>313</v>
      </c>
    </row>
    <row r="50" spans="3:4">
      <c r="C50" t="s">
        <v>313</v>
      </c>
      <c r="D50" t="s">
        <v>313</v>
      </c>
    </row>
    <row r="51" spans="3:4">
      <c r="C51" t="s">
        <v>313</v>
      </c>
      <c r="D51" t="s">
        <v>313</v>
      </c>
    </row>
    <row r="52" spans="3:4">
      <c r="C52" t="s">
        <v>313</v>
      </c>
      <c r="D52" t="s">
        <v>313</v>
      </c>
    </row>
    <row r="53" spans="3:4">
      <c r="C53" t="s">
        <v>313</v>
      </c>
      <c r="D53" t="s">
        <v>313</v>
      </c>
    </row>
    <row r="54" spans="3:4">
      <c r="C54" t="s">
        <v>313</v>
      </c>
      <c r="D54" t="s">
        <v>313</v>
      </c>
    </row>
    <row r="55" spans="3:4">
      <c r="C55" t="s">
        <v>313</v>
      </c>
      <c r="D55" t="s">
        <v>313</v>
      </c>
    </row>
    <row r="56" spans="3:4">
      <c r="C56" t="s">
        <v>313</v>
      </c>
      <c r="D56" t="s">
        <v>313</v>
      </c>
    </row>
    <row r="57" spans="3:4">
      <c r="C57" t="s">
        <v>313</v>
      </c>
      <c r="D57" t="s">
        <v>313</v>
      </c>
    </row>
    <row r="58" spans="3:4">
      <c r="C58" t="s">
        <v>313</v>
      </c>
      <c r="D58" t="s">
        <v>313</v>
      </c>
    </row>
    <row r="59" spans="3:4">
      <c r="C59" t="s">
        <v>313</v>
      </c>
      <c r="D59" t="s">
        <v>313</v>
      </c>
    </row>
    <row r="60" spans="3:4">
      <c r="C60" t="s">
        <v>313</v>
      </c>
      <c r="D60" t="s">
        <v>313</v>
      </c>
    </row>
    <row r="61" spans="3:4">
      <c r="C61" t="s">
        <v>313</v>
      </c>
      <c r="D61" t="s">
        <v>313</v>
      </c>
    </row>
    <row r="62" spans="3:4">
      <c r="C62" t="s">
        <v>313</v>
      </c>
      <c r="D62" t="s">
        <v>313</v>
      </c>
    </row>
    <row r="63" spans="3:4">
      <c r="C63" t="s">
        <v>313</v>
      </c>
      <c r="D63" t="s">
        <v>313</v>
      </c>
    </row>
    <row r="64" spans="3:4">
      <c r="C64" t="s">
        <v>313</v>
      </c>
      <c r="D64" t="s">
        <v>313</v>
      </c>
    </row>
    <row r="65" spans="3:4">
      <c r="C65" t="s">
        <v>313</v>
      </c>
      <c r="D65" t="s">
        <v>313</v>
      </c>
    </row>
  </sheetData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311</v>
      </c>
      <c r="D7" t="s">
        <v>311</v>
      </c>
    </row>
    <row r="8" spans="3:4">
      <c r="C8" t="s">
        <v>311</v>
      </c>
      <c r="D8" t="s">
        <v>311</v>
      </c>
    </row>
    <row r="9" spans="3:4">
      <c r="C9" t="s">
        <v>311</v>
      </c>
      <c r="D9" t="s">
        <v>311</v>
      </c>
    </row>
    <row r="10" spans="3:4">
      <c r="C10" t="s">
        <v>311</v>
      </c>
      <c r="D10" t="s">
        <v>311</v>
      </c>
    </row>
    <row r="11" spans="3:4">
      <c r="C11" t="s">
        <v>311</v>
      </c>
      <c r="D11" t="s">
        <v>311</v>
      </c>
    </row>
    <row r="12" spans="3:4">
      <c r="C12" t="s">
        <v>311</v>
      </c>
      <c r="D12" t="s">
        <v>311</v>
      </c>
    </row>
    <row r="13" spans="3:4">
      <c r="C13" t="s">
        <v>311</v>
      </c>
      <c r="D13" t="s">
        <v>311</v>
      </c>
    </row>
    <row r="14" spans="3:4">
      <c r="C14" t="s">
        <v>311</v>
      </c>
      <c r="D14" t="s">
        <v>311</v>
      </c>
    </row>
    <row r="15" spans="3:4">
      <c r="C15" t="s">
        <v>311</v>
      </c>
      <c r="D15" t="s">
        <v>311</v>
      </c>
    </row>
    <row r="16" spans="3:4">
      <c r="C16" t="s">
        <v>311</v>
      </c>
      <c r="D16" t="s">
        <v>311</v>
      </c>
    </row>
    <row r="17" spans="3:4">
      <c r="C17" t="s">
        <v>311</v>
      </c>
      <c r="D17" t="s">
        <v>311</v>
      </c>
    </row>
    <row r="18" spans="3:4">
      <c r="C18" t="s">
        <v>311</v>
      </c>
      <c r="D18" t="s">
        <v>311</v>
      </c>
    </row>
    <row r="19" spans="3:4">
      <c r="C19" t="s">
        <v>311</v>
      </c>
      <c r="D19" t="s">
        <v>311</v>
      </c>
    </row>
    <row r="20" spans="3:4">
      <c r="C20" t="s">
        <v>311</v>
      </c>
      <c r="D20" t="s">
        <v>311</v>
      </c>
    </row>
    <row r="21" spans="3:4">
      <c r="C21" t="s">
        <v>311</v>
      </c>
      <c r="D21" t="s">
        <v>311</v>
      </c>
    </row>
    <row r="22" spans="3:4">
      <c r="C22" t="s">
        <v>311</v>
      </c>
      <c r="D22" t="s">
        <v>311</v>
      </c>
    </row>
    <row r="23" spans="3:4">
      <c r="C23" t="s">
        <v>311</v>
      </c>
      <c r="D23" t="s">
        <v>311</v>
      </c>
    </row>
    <row r="24" spans="3:4">
      <c r="C24" t="s">
        <v>311</v>
      </c>
      <c r="D24" t="s">
        <v>311</v>
      </c>
    </row>
    <row r="25" spans="3:4">
      <c r="C25" t="s">
        <v>311</v>
      </c>
      <c r="D25" t="s">
        <v>311</v>
      </c>
    </row>
    <row r="26" spans="3:4">
      <c r="C26" t="s">
        <v>311</v>
      </c>
      <c r="D26" t="s">
        <v>311</v>
      </c>
    </row>
    <row r="27" spans="3:4">
      <c r="C27" t="s">
        <v>311</v>
      </c>
      <c r="D27" t="s">
        <v>311</v>
      </c>
    </row>
    <row r="28" spans="3:4">
      <c r="C28" t="s">
        <v>311</v>
      </c>
      <c r="D28" t="s">
        <v>311</v>
      </c>
    </row>
    <row r="29" spans="3:4">
      <c r="C29" t="s">
        <v>311</v>
      </c>
      <c r="D29" t="s">
        <v>311</v>
      </c>
    </row>
    <row r="30" spans="3:4">
      <c r="C30" t="s">
        <v>311</v>
      </c>
      <c r="D30" t="s">
        <v>311</v>
      </c>
    </row>
    <row r="31" spans="3:4">
      <c r="C31" t="s">
        <v>311</v>
      </c>
      <c r="D31" t="s">
        <v>311</v>
      </c>
    </row>
    <row r="32" spans="3:4">
      <c r="C32" t="s">
        <v>311</v>
      </c>
      <c r="D32" t="s">
        <v>311</v>
      </c>
    </row>
    <row r="33" spans="3:4">
      <c r="C33" t="s">
        <v>311</v>
      </c>
      <c r="D33" t="s">
        <v>311</v>
      </c>
    </row>
    <row r="34" spans="3:4">
      <c r="C34" t="s">
        <v>311</v>
      </c>
      <c r="D34" t="s">
        <v>311</v>
      </c>
    </row>
    <row r="35" spans="3:4">
      <c r="C35" t="s">
        <v>311</v>
      </c>
      <c r="D35" t="s">
        <v>311</v>
      </c>
    </row>
    <row r="36" spans="3:4">
      <c r="C36" t="s">
        <v>311</v>
      </c>
      <c r="D36" t="s">
        <v>311</v>
      </c>
    </row>
    <row r="37" spans="3:4">
      <c r="C37" t="s">
        <v>311</v>
      </c>
      <c r="D37" t="s">
        <v>311</v>
      </c>
    </row>
    <row r="38" spans="3:4">
      <c r="C38" t="s">
        <v>311</v>
      </c>
      <c r="D38" t="s">
        <v>311</v>
      </c>
    </row>
    <row r="39" spans="3:4">
      <c r="C39" t="s">
        <v>311</v>
      </c>
      <c r="D39" t="s">
        <v>311</v>
      </c>
    </row>
    <row r="40" spans="3:4">
      <c r="C40" t="s">
        <v>311</v>
      </c>
      <c r="D40" t="s">
        <v>311</v>
      </c>
    </row>
    <row r="41" spans="3:4">
      <c r="C41" t="s">
        <v>311</v>
      </c>
      <c r="D41" t="s">
        <v>311</v>
      </c>
    </row>
    <row r="42" spans="3:4">
      <c r="C42" t="s">
        <v>311</v>
      </c>
      <c r="D42" t="s">
        <v>311</v>
      </c>
    </row>
    <row r="43" spans="3:4">
      <c r="C43" t="s">
        <v>311</v>
      </c>
      <c r="D43" t="s">
        <v>311</v>
      </c>
    </row>
    <row r="44" spans="3:4">
      <c r="C44" t="s">
        <v>311</v>
      </c>
      <c r="D44" t="s">
        <v>311</v>
      </c>
    </row>
    <row r="45" spans="3:4">
      <c r="C45" t="s">
        <v>311</v>
      </c>
      <c r="D45" t="s">
        <v>311</v>
      </c>
    </row>
    <row r="46" spans="3:4">
      <c r="C46" t="s">
        <v>311</v>
      </c>
      <c r="D46" t="s">
        <v>311</v>
      </c>
    </row>
    <row r="47" spans="3:4">
      <c r="C47" t="s">
        <v>311</v>
      </c>
      <c r="D47" t="s">
        <v>311</v>
      </c>
    </row>
    <row r="48" spans="3:4">
      <c r="C48" t="s">
        <v>311</v>
      </c>
      <c r="D48" t="s">
        <v>311</v>
      </c>
    </row>
    <row r="49" spans="3:4">
      <c r="C49" t="s">
        <v>311</v>
      </c>
      <c r="D49" t="s">
        <v>311</v>
      </c>
    </row>
    <row r="50" spans="3:4">
      <c r="C50" t="s">
        <v>311</v>
      </c>
      <c r="D50" t="s">
        <v>311</v>
      </c>
    </row>
    <row r="51" spans="3:4">
      <c r="C51" t="s">
        <v>311</v>
      </c>
      <c r="D51" t="s">
        <v>311</v>
      </c>
    </row>
    <row r="52" spans="3:4">
      <c r="C52" t="s">
        <v>311</v>
      </c>
      <c r="D52" t="s">
        <v>311</v>
      </c>
    </row>
    <row r="53" spans="3:4">
      <c r="C53" t="s">
        <v>311</v>
      </c>
      <c r="D53" t="s">
        <v>311</v>
      </c>
    </row>
    <row r="54" spans="3:4">
      <c r="C54" t="s">
        <v>311</v>
      </c>
      <c r="D54" t="s">
        <v>311</v>
      </c>
    </row>
    <row r="55" spans="3:4">
      <c r="C55" t="s">
        <v>311</v>
      </c>
      <c r="D55" t="s">
        <v>311</v>
      </c>
    </row>
    <row r="56" spans="3:4">
      <c r="C56" t="s">
        <v>311</v>
      </c>
      <c r="D56" t="s">
        <v>311</v>
      </c>
    </row>
    <row r="57" spans="3:4">
      <c r="C57" t="s">
        <v>311</v>
      </c>
      <c r="D57" t="s">
        <v>311</v>
      </c>
    </row>
    <row r="58" spans="3:4">
      <c r="C58" t="s">
        <v>311</v>
      </c>
      <c r="D58" t="s">
        <v>311</v>
      </c>
    </row>
    <row r="59" spans="3:4">
      <c r="C59" t="s">
        <v>311</v>
      </c>
      <c r="D59" t="s">
        <v>311</v>
      </c>
    </row>
    <row r="60" spans="3:4">
      <c r="C60" t="s">
        <v>311</v>
      </c>
      <c r="D60" t="s">
        <v>311</v>
      </c>
    </row>
    <row r="61" spans="3:4">
      <c r="C61" t="s">
        <v>311</v>
      </c>
      <c r="D61" t="s">
        <v>311</v>
      </c>
    </row>
    <row r="62" spans="3:4">
      <c r="C62" t="s">
        <v>311</v>
      </c>
      <c r="D62" t="s">
        <v>311</v>
      </c>
    </row>
    <row r="63" spans="3:4">
      <c r="C63" t="s">
        <v>311</v>
      </c>
      <c r="D63" t="s">
        <v>311</v>
      </c>
    </row>
    <row r="64" spans="3:4">
      <c r="C64" t="s">
        <v>311</v>
      </c>
      <c r="D64" t="s">
        <v>311</v>
      </c>
    </row>
    <row r="65" spans="3:4">
      <c r="C65" t="s">
        <v>311</v>
      </c>
      <c r="D65" t="s">
        <v>311</v>
      </c>
    </row>
  </sheetData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309</v>
      </c>
      <c r="D7" t="s">
        <v>309</v>
      </c>
    </row>
    <row r="8" spans="3:4">
      <c r="C8" t="s">
        <v>309</v>
      </c>
      <c r="D8" t="s">
        <v>309</v>
      </c>
    </row>
    <row r="9" spans="3:4">
      <c r="C9" t="s">
        <v>309</v>
      </c>
      <c r="D9" t="s">
        <v>309</v>
      </c>
    </row>
    <row r="10" spans="3:4">
      <c r="C10" t="s">
        <v>309</v>
      </c>
      <c r="D10" t="s">
        <v>309</v>
      </c>
    </row>
    <row r="11" spans="3:4">
      <c r="C11" t="s">
        <v>309</v>
      </c>
      <c r="D11" t="s">
        <v>309</v>
      </c>
    </row>
    <row r="12" spans="3:4">
      <c r="C12" t="s">
        <v>309</v>
      </c>
      <c r="D12" t="s">
        <v>309</v>
      </c>
    </row>
    <row r="13" spans="3:4">
      <c r="C13" t="s">
        <v>309</v>
      </c>
      <c r="D13" t="s">
        <v>309</v>
      </c>
    </row>
    <row r="14" spans="3:4">
      <c r="C14" t="s">
        <v>309</v>
      </c>
      <c r="D14" t="s">
        <v>309</v>
      </c>
    </row>
    <row r="15" spans="3:4">
      <c r="C15" t="s">
        <v>309</v>
      </c>
      <c r="D15" t="s">
        <v>309</v>
      </c>
    </row>
    <row r="16" spans="3:4">
      <c r="C16" t="s">
        <v>309</v>
      </c>
      <c r="D16" t="s">
        <v>309</v>
      </c>
    </row>
    <row r="17" spans="3:4">
      <c r="C17" t="s">
        <v>309</v>
      </c>
      <c r="D17" t="s">
        <v>309</v>
      </c>
    </row>
    <row r="18" spans="3:4">
      <c r="C18" t="s">
        <v>309</v>
      </c>
      <c r="D18" t="s">
        <v>309</v>
      </c>
    </row>
    <row r="19" spans="3:4">
      <c r="C19" t="s">
        <v>309</v>
      </c>
      <c r="D19" t="s">
        <v>309</v>
      </c>
    </row>
    <row r="20" spans="3:4">
      <c r="C20" t="s">
        <v>309</v>
      </c>
      <c r="D20" t="s">
        <v>309</v>
      </c>
    </row>
    <row r="21" spans="3:4">
      <c r="C21" t="s">
        <v>309</v>
      </c>
      <c r="D21" t="s">
        <v>309</v>
      </c>
    </row>
    <row r="22" spans="3:4">
      <c r="C22" t="s">
        <v>309</v>
      </c>
      <c r="D22" t="s">
        <v>309</v>
      </c>
    </row>
    <row r="23" spans="3:4">
      <c r="C23" t="s">
        <v>309</v>
      </c>
      <c r="D23" t="s">
        <v>309</v>
      </c>
    </row>
    <row r="24" spans="3:4">
      <c r="C24" t="s">
        <v>309</v>
      </c>
      <c r="D24" t="s">
        <v>309</v>
      </c>
    </row>
    <row r="25" spans="3:4">
      <c r="C25" t="s">
        <v>309</v>
      </c>
      <c r="D25" t="s">
        <v>309</v>
      </c>
    </row>
    <row r="26" spans="3:4">
      <c r="C26" t="s">
        <v>309</v>
      </c>
      <c r="D26" t="s">
        <v>309</v>
      </c>
    </row>
    <row r="27" spans="3:4">
      <c r="C27" t="s">
        <v>309</v>
      </c>
      <c r="D27" t="s">
        <v>309</v>
      </c>
    </row>
    <row r="28" spans="3:4">
      <c r="C28" t="s">
        <v>309</v>
      </c>
      <c r="D28" t="s">
        <v>309</v>
      </c>
    </row>
    <row r="29" spans="3:4">
      <c r="C29" t="s">
        <v>309</v>
      </c>
      <c r="D29" t="s">
        <v>309</v>
      </c>
    </row>
    <row r="30" spans="3:4">
      <c r="C30" t="s">
        <v>309</v>
      </c>
      <c r="D30" t="s">
        <v>309</v>
      </c>
    </row>
    <row r="31" spans="3:4">
      <c r="C31" t="s">
        <v>309</v>
      </c>
      <c r="D31" t="s">
        <v>309</v>
      </c>
    </row>
    <row r="32" spans="3:4">
      <c r="C32" t="s">
        <v>309</v>
      </c>
      <c r="D32" t="s">
        <v>309</v>
      </c>
    </row>
    <row r="33" spans="3:4">
      <c r="C33" t="s">
        <v>309</v>
      </c>
      <c r="D33" t="s">
        <v>309</v>
      </c>
    </row>
    <row r="34" spans="3:4">
      <c r="C34" t="s">
        <v>309</v>
      </c>
      <c r="D34" t="s">
        <v>309</v>
      </c>
    </row>
    <row r="35" spans="3:4">
      <c r="C35" t="s">
        <v>309</v>
      </c>
      <c r="D35" t="s">
        <v>309</v>
      </c>
    </row>
    <row r="36" spans="3:4">
      <c r="C36" t="s">
        <v>309</v>
      </c>
      <c r="D36" t="s">
        <v>309</v>
      </c>
    </row>
    <row r="37" spans="3:4">
      <c r="C37" t="s">
        <v>309</v>
      </c>
      <c r="D37" t="s">
        <v>309</v>
      </c>
    </row>
    <row r="38" spans="3:4">
      <c r="C38" t="s">
        <v>309</v>
      </c>
      <c r="D38" t="s">
        <v>309</v>
      </c>
    </row>
    <row r="39" spans="3:4">
      <c r="C39" t="s">
        <v>309</v>
      </c>
      <c r="D39" t="s">
        <v>309</v>
      </c>
    </row>
    <row r="40" spans="3:4">
      <c r="C40" t="s">
        <v>309</v>
      </c>
      <c r="D40" t="s">
        <v>309</v>
      </c>
    </row>
    <row r="41" spans="3:4">
      <c r="C41" t="s">
        <v>309</v>
      </c>
      <c r="D41" t="s">
        <v>309</v>
      </c>
    </row>
    <row r="42" spans="3:4">
      <c r="C42" t="s">
        <v>309</v>
      </c>
      <c r="D42" t="s">
        <v>309</v>
      </c>
    </row>
    <row r="43" spans="3:4">
      <c r="C43" t="s">
        <v>309</v>
      </c>
      <c r="D43" t="s">
        <v>309</v>
      </c>
    </row>
    <row r="44" spans="3:4">
      <c r="C44" t="s">
        <v>309</v>
      </c>
      <c r="D44" t="s">
        <v>309</v>
      </c>
    </row>
    <row r="45" spans="3:4">
      <c r="C45" t="s">
        <v>309</v>
      </c>
      <c r="D45" t="s">
        <v>309</v>
      </c>
    </row>
    <row r="46" spans="3:4">
      <c r="C46" t="s">
        <v>309</v>
      </c>
      <c r="D46" t="s">
        <v>309</v>
      </c>
    </row>
    <row r="47" spans="3:4">
      <c r="C47" t="s">
        <v>309</v>
      </c>
      <c r="D47" t="s">
        <v>309</v>
      </c>
    </row>
    <row r="48" spans="3:4">
      <c r="C48" t="s">
        <v>309</v>
      </c>
      <c r="D48" t="s">
        <v>309</v>
      </c>
    </row>
    <row r="49" spans="3:4">
      <c r="C49" t="s">
        <v>309</v>
      </c>
      <c r="D49" t="s">
        <v>309</v>
      </c>
    </row>
    <row r="50" spans="3:4">
      <c r="C50" t="s">
        <v>309</v>
      </c>
      <c r="D50" t="s">
        <v>309</v>
      </c>
    </row>
    <row r="51" spans="3:4">
      <c r="C51" t="s">
        <v>309</v>
      </c>
      <c r="D51" t="s">
        <v>309</v>
      </c>
    </row>
    <row r="52" spans="3:4">
      <c r="C52" t="s">
        <v>309</v>
      </c>
      <c r="D52" t="s">
        <v>309</v>
      </c>
    </row>
    <row r="53" spans="3:4">
      <c r="C53" t="s">
        <v>309</v>
      </c>
      <c r="D53" t="s">
        <v>309</v>
      </c>
    </row>
    <row r="54" spans="3:4">
      <c r="C54" t="s">
        <v>309</v>
      </c>
      <c r="D54" t="s">
        <v>309</v>
      </c>
    </row>
    <row r="55" spans="3:4">
      <c r="C55" t="s">
        <v>309</v>
      </c>
      <c r="D55" t="s">
        <v>309</v>
      </c>
    </row>
    <row r="56" spans="3:4">
      <c r="C56" t="s">
        <v>309</v>
      </c>
      <c r="D56" t="s">
        <v>309</v>
      </c>
    </row>
    <row r="57" spans="3:4">
      <c r="C57" t="s">
        <v>309</v>
      </c>
      <c r="D57" t="s">
        <v>309</v>
      </c>
    </row>
    <row r="58" spans="3:4">
      <c r="C58" t="s">
        <v>309</v>
      </c>
      <c r="D58" t="s">
        <v>309</v>
      </c>
    </row>
    <row r="59" spans="3:4">
      <c r="C59" t="s">
        <v>309</v>
      </c>
      <c r="D59" t="s">
        <v>309</v>
      </c>
    </row>
    <row r="60" spans="3:4">
      <c r="C60" t="s">
        <v>309</v>
      </c>
      <c r="D60" t="s">
        <v>309</v>
      </c>
    </row>
    <row r="61" spans="3:4">
      <c r="C61" t="s">
        <v>309</v>
      </c>
      <c r="D61" t="s">
        <v>309</v>
      </c>
    </row>
    <row r="62" spans="3:4">
      <c r="C62" t="s">
        <v>309</v>
      </c>
      <c r="D62" t="s">
        <v>309</v>
      </c>
    </row>
    <row r="63" spans="3:4">
      <c r="C63" t="s">
        <v>309</v>
      </c>
      <c r="D63" t="s">
        <v>309</v>
      </c>
    </row>
    <row r="64" spans="3:4">
      <c r="C64" t="s">
        <v>309</v>
      </c>
      <c r="D64" t="s">
        <v>309</v>
      </c>
    </row>
    <row r="65" spans="3:4">
      <c r="C65" t="s">
        <v>309</v>
      </c>
      <c r="D65" t="s">
        <v>309</v>
      </c>
    </row>
  </sheetData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307</v>
      </c>
      <c r="D7" t="s">
        <v>307</v>
      </c>
    </row>
    <row r="8" spans="3:4">
      <c r="C8" t="s">
        <v>307</v>
      </c>
      <c r="D8" t="s">
        <v>307</v>
      </c>
    </row>
    <row r="9" spans="3:4">
      <c r="C9" t="s">
        <v>307</v>
      </c>
      <c r="D9" t="s">
        <v>307</v>
      </c>
    </row>
    <row r="10" spans="3:4">
      <c r="C10" t="s">
        <v>307</v>
      </c>
      <c r="D10" t="s">
        <v>307</v>
      </c>
    </row>
    <row r="11" spans="3:4">
      <c r="C11" t="s">
        <v>307</v>
      </c>
      <c r="D11" t="s">
        <v>307</v>
      </c>
    </row>
    <row r="12" spans="3:4">
      <c r="C12" t="s">
        <v>307</v>
      </c>
      <c r="D12" t="s">
        <v>307</v>
      </c>
    </row>
    <row r="13" spans="3:4">
      <c r="C13" t="s">
        <v>307</v>
      </c>
      <c r="D13" t="s">
        <v>307</v>
      </c>
    </row>
    <row r="14" spans="3:4">
      <c r="C14" t="s">
        <v>307</v>
      </c>
      <c r="D14" t="s">
        <v>307</v>
      </c>
    </row>
    <row r="15" spans="3:4">
      <c r="C15" t="s">
        <v>307</v>
      </c>
      <c r="D15" t="s">
        <v>307</v>
      </c>
    </row>
    <row r="16" spans="3:4">
      <c r="C16" t="s">
        <v>307</v>
      </c>
      <c r="D16" t="s">
        <v>307</v>
      </c>
    </row>
    <row r="17" spans="3:4">
      <c r="C17" t="s">
        <v>307</v>
      </c>
      <c r="D17" t="s">
        <v>307</v>
      </c>
    </row>
    <row r="18" spans="3:4">
      <c r="C18" t="s">
        <v>307</v>
      </c>
      <c r="D18" t="s">
        <v>307</v>
      </c>
    </row>
    <row r="19" spans="3:4">
      <c r="C19" t="s">
        <v>307</v>
      </c>
      <c r="D19" t="s">
        <v>307</v>
      </c>
    </row>
    <row r="20" spans="3:4">
      <c r="C20" t="s">
        <v>307</v>
      </c>
      <c r="D20" t="s">
        <v>307</v>
      </c>
    </row>
    <row r="21" spans="3:4">
      <c r="C21" t="s">
        <v>307</v>
      </c>
      <c r="D21" t="s">
        <v>307</v>
      </c>
    </row>
    <row r="22" spans="3:4">
      <c r="C22" t="s">
        <v>307</v>
      </c>
      <c r="D22" t="s">
        <v>307</v>
      </c>
    </row>
    <row r="23" spans="3:4">
      <c r="C23" t="s">
        <v>307</v>
      </c>
      <c r="D23" t="s">
        <v>307</v>
      </c>
    </row>
    <row r="24" spans="3:4">
      <c r="C24" t="s">
        <v>307</v>
      </c>
      <c r="D24" t="s">
        <v>307</v>
      </c>
    </row>
    <row r="25" spans="3:4">
      <c r="C25" t="s">
        <v>307</v>
      </c>
      <c r="D25" t="s">
        <v>307</v>
      </c>
    </row>
    <row r="26" spans="3:4">
      <c r="C26" t="s">
        <v>307</v>
      </c>
      <c r="D26" t="s">
        <v>307</v>
      </c>
    </row>
    <row r="27" spans="3:4">
      <c r="C27" t="s">
        <v>307</v>
      </c>
      <c r="D27" t="s">
        <v>307</v>
      </c>
    </row>
    <row r="28" spans="3:4">
      <c r="C28" t="s">
        <v>307</v>
      </c>
      <c r="D28" t="s">
        <v>307</v>
      </c>
    </row>
    <row r="29" spans="3:4">
      <c r="C29" t="s">
        <v>307</v>
      </c>
      <c r="D29" t="s">
        <v>307</v>
      </c>
    </row>
    <row r="30" spans="3:4">
      <c r="C30" t="s">
        <v>307</v>
      </c>
      <c r="D30" t="s">
        <v>307</v>
      </c>
    </row>
    <row r="31" spans="3:4">
      <c r="C31" t="s">
        <v>307</v>
      </c>
      <c r="D31" t="s">
        <v>307</v>
      </c>
    </row>
    <row r="32" spans="3:4">
      <c r="C32" t="s">
        <v>307</v>
      </c>
      <c r="D32" t="s">
        <v>307</v>
      </c>
    </row>
    <row r="33" spans="3:4">
      <c r="C33" t="s">
        <v>307</v>
      </c>
      <c r="D33" t="s">
        <v>307</v>
      </c>
    </row>
    <row r="34" spans="3:4">
      <c r="C34" t="s">
        <v>307</v>
      </c>
      <c r="D34" t="s">
        <v>307</v>
      </c>
    </row>
    <row r="35" spans="3:4">
      <c r="C35" t="s">
        <v>307</v>
      </c>
      <c r="D35" t="s">
        <v>307</v>
      </c>
    </row>
    <row r="36" spans="3:4">
      <c r="C36" t="s">
        <v>307</v>
      </c>
      <c r="D36" t="s">
        <v>307</v>
      </c>
    </row>
    <row r="37" spans="3:4">
      <c r="C37" t="s">
        <v>307</v>
      </c>
      <c r="D37" t="s">
        <v>307</v>
      </c>
    </row>
    <row r="38" spans="3:4">
      <c r="C38" t="s">
        <v>307</v>
      </c>
      <c r="D38" t="s">
        <v>307</v>
      </c>
    </row>
    <row r="39" spans="3:4">
      <c r="C39" t="s">
        <v>307</v>
      </c>
      <c r="D39" t="s">
        <v>307</v>
      </c>
    </row>
    <row r="40" spans="3:4">
      <c r="C40" t="s">
        <v>307</v>
      </c>
      <c r="D40" t="s">
        <v>307</v>
      </c>
    </row>
    <row r="41" spans="3:4">
      <c r="C41" t="s">
        <v>307</v>
      </c>
      <c r="D41" t="s">
        <v>307</v>
      </c>
    </row>
    <row r="42" spans="3:4">
      <c r="C42" t="s">
        <v>307</v>
      </c>
      <c r="D42" t="s">
        <v>307</v>
      </c>
    </row>
    <row r="43" spans="3:4">
      <c r="C43" t="s">
        <v>307</v>
      </c>
      <c r="D43" t="s">
        <v>307</v>
      </c>
    </row>
    <row r="44" spans="3:4">
      <c r="C44" t="s">
        <v>307</v>
      </c>
      <c r="D44" t="s">
        <v>307</v>
      </c>
    </row>
    <row r="45" spans="3:4">
      <c r="C45" t="s">
        <v>307</v>
      </c>
      <c r="D45" t="s">
        <v>307</v>
      </c>
    </row>
    <row r="46" spans="3:4">
      <c r="C46" t="s">
        <v>307</v>
      </c>
      <c r="D46" t="s">
        <v>307</v>
      </c>
    </row>
    <row r="47" spans="3:4">
      <c r="C47" t="s">
        <v>307</v>
      </c>
      <c r="D47" t="s">
        <v>307</v>
      </c>
    </row>
    <row r="48" spans="3:4">
      <c r="C48" t="s">
        <v>307</v>
      </c>
      <c r="D48" t="s">
        <v>307</v>
      </c>
    </row>
    <row r="49" spans="3:4">
      <c r="C49" t="s">
        <v>307</v>
      </c>
      <c r="D49" t="s">
        <v>307</v>
      </c>
    </row>
    <row r="50" spans="3:4">
      <c r="C50" t="s">
        <v>307</v>
      </c>
      <c r="D50" t="s">
        <v>307</v>
      </c>
    </row>
    <row r="51" spans="3:4">
      <c r="C51" t="s">
        <v>307</v>
      </c>
      <c r="D51" t="s">
        <v>307</v>
      </c>
    </row>
    <row r="52" spans="3:4">
      <c r="C52" t="s">
        <v>307</v>
      </c>
      <c r="D52" t="s">
        <v>307</v>
      </c>
    </row>
    <row r="53" spans="3:4">
      <c r="C53" t="s">
        <v>307</v>
      </c>
      <c r="D53" t="s">
        <v>307</v>
      </c>
    </row>
    <row r="54" spans="3:4">
      <c r="C54" t="s">
        <v>307</v>
      </c>
      <c r="D54" t="s">
        <v>307</v>
      </c>
    </row>
    <row r="55" spans="3:4">
      <c r="C55" t="s">
        <v>307</v>
      </c>
      <c r="D55" t="s">
        <v>307</v>
      </c>
    </row>
    <row r="56" spans="3:4">
      <c r="C56" t="s">
        <v>307</v>
      </c>
      <c r="D56" t="s">
        <v>307</v>
      </c>
    </row>
    <row r="57" spans="3:4">
      <c r="C57" t="s">
        <v>307</v>
      </c>
      <c r="D57" t="s">
        <v>307</v>
      </c>
    </row>
    <row r="58" spans="3:4">
      <c r="C58" t="s">
        <v>307</v>
      </c>
      <c r="D58" t="s">
        <v>307</v>
      </c>
    </row>
    <row r="59" spans="3:4">
      <c r="C59" t="s">
        <v>307</v>
      </c>
      <c r="D59" t="s">
        <v>307</v>
      </c>
    </row>
    <row r="60" spans="3:4">
      <c r="C60" t="s">
        <v>307</v>
      </c>
      <c r="D60" t="s">
        <v>307</v>
      </c>
    </row>
    <row r="61" spans="3:4">
      <c r="C61" t="s">
        <v>307</v>
      </c>
      <c r="D61" t="s">
        <v>307</v>
      </c>
    </row>
    <row r="62" spans="3:4">
      <c r="C62" t="s">
        <v>307</v>
      </c>
      <c r="D62" t="s">
        <v>307</v>
      </c>
    </row>
    <row r="63" spans="3:4">
      <c r="C63" t="s">
        <v>307</v>
      </c>
      <c r="D63" t="s">
        <v>307</v>
      </c>
    </row>
    <row r="64" spans="3:4">
      <c r="C64" t="s">
        <v>307</v>
      </c>
      <c r="D64" t="s">
        <v>307</v>
      </c>
    </row>
    <row r="65" spans="3:4">
      <c r="C65" t="s">
        <v>307</v>
      </c>
      <c r="D65" t="s">
        <v>307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E46" sqref="E46"/>
    </sheetView>
  </sheetViews>
  <sheetFormatPr defaultColWidth="11.7109375" defaultRowHeight="15"/>
  <cols>
    <col min="1" max="1" width="61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4026353.25</v>
      </c>
      <c r="D8" s="11">
        <f>D9+D11+D14+D15</f>
        <v>3814885.91</v>
      </c>
    </row>
    <row r="9" spans="1:4" ht="30">
      <c r="A9" s="12" t="s">
        <v>90</v>
      </c>
      <c r="B9" s="13" t="s">
        <v>91</v>
      </c>
      <c r="C9" s="14">
        <f>3546356.03</f>
        <v>3546356.03</v>
      </c>
      <c r="D9" s="15">
        <f>3421711.19</f>
        <v>3421711.19</v>
      </c>
    </row>
    <row r="10" spans="1:4">
      <c r="A10" s="16" t="s">
        <v>92</v>
      </c>
      <c r="B10" s="17" t="s">
        <v>93</v>
      </c>
      <c r="C10" s="18">
        <f>2221535.93701997</f>
        <v>2221535.9370199698</v>
      </c>
      <c r="D10" s="19">
        <f>_28h_E12</f>
        <v>2221535.9370199698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479997.22</v>
      </c>
      <c r="D15" s="15">
        <f>SUM(D16:D24)</f>
        <v>393174.72</v>
      </c>
    </row>
    <row r="16" spans="1:4">
      <c r="A16" s="22" t="s">
        <v>103</v>
      </c>
      <c r="B16" s="17" t="s">
        <v>104</v>
      </c>
      <c r="C16" s="111">
        <v>311482.68</v>
      </c>
      <c r="D16" s="113">
        <v>201371.76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91836.24</f>
        <v>91836.24</v>
      </c>
      <c r="D18" s="19">
        <f>115123.82</f>
        <v>115123.82</v>
      </c>
    </row>
    <row r="19" spans="1:4">
      <c r="A19" s="22" t="s">
        <v>109</v>
      </c>
      <c r="B19" s="17" t="s">
        <v>110</v>
      </c>
      <c r="C19" s="18">
        <f>9111.62</f>
        <v>9111.6200000000008</v>
      </c>
      <c r="D19" s="19">
        <f>9117.74</f>
        <v>9117.74</v>
      </c>
    </row>
    <row r="20" spans="1:4">
      <c r="A20" s="22" t="s">
        <v>111</v>
      </c>
      <c r="B20" s="17" t="s">
        <v>112</v>
      </c>
      <c r="C20" s="18">
        <f>12034.02</f>
        <v>12034.02</v>
      </c>
      <c r="D20" s="19">
        <f>12028.74</f>
        <v>12028.74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55532.66</f>
        <v>55532.66</v>
      </c>
      <c r="D22" s="19">
        <f>55532.66</f>
        <v>55532.66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1353674.43</v>
      </c>
      <c r="D25" s="15">
        <f>D26+D27+D30+D28+D29+D31</f>
        <v>1044245.02</v>
      </c>
    </row>
    <row r="26" spans="1:4" ht="23.25" customHeight="1">
      <c r="A26" s="24" t="s">
        <v>123</v>
      </c>
      <c r="B26" s="20" t="s">
        <v>124</v>
      </c>
      <c r="C26" s="18">
        <f>496676.16</f>
        <v>496676.16</v>
      </c>
      <c r="D26" s="19">
        <f>496396.5</f>
        <v>496396.5</v>
      </c>
    </row>
    <row r="27" spans="1:4" ht="34.5" customHeight="1">
      <c r="A27" s="24" t="s">
        <v>125</v>
      </c>
      <c r="B27" s="20" t="s">
        <v>126</v>
      </c>
      <c r="C27" s="18">
        <f>61805.76</f>
        <v>61805.760000000002</v>
      </c>
      <c r="D27" s="19">
        <f>61905.09</f>
        <v>61905.09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63380.76</f>
        <v>63380.76</v>
      </c>
      <c r="D29" s="19">
        <f>62826.69</f>
        <v>62826.69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731811.75</v>
      </c>
      <c r="D31" s="15">
        <f>SUM(D32:D39)</f>
        <v>423116.74</v>
      </c>
    </row>
    <row r="32" spans="1:4" ht="21.75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83877.12</f>
        <v>83877.119999999995</v>
      </c>
      <c r="D33" s="19">
        <f>82496.87</f>
        <v>82496.87</v>
      </c>
    </row>
    <row r="34" spans="1:4">
      <c r="A34" s="24" t="s">
        <v>139</v>
      </c>
      <c r="B34" s="17" t="s">
        <v>140</v>
      </c>
      <c r="C34" s="18">
        <f>33430.44</f>
        <v>33430.44</v>
      </c>
      <c r="D34" s="19">
        <f>33781</f>
        <v>33781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3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497</v>
      </c>
      <c r="B39" s="17" t="s">
        <v>150</v>
      </c>
      <c r="C39" s="18">
        <f>522609.96</f>
        <v>522609.96</v>
      </c>
      <c r="D39" s="19">
        <v>214944.6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v>396378.46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38049.96</v>
      </c>
      <c r="D45" s="27">
        <f>SUM(D46:D48)</f>
        <v>42011.86</v>
      </c>
    </row>
    <row r="46" spans="1:4">
      <c r="A46" s="21" t="s">
        <v>163</v>
      </c>
      <c r="B46" s="17" t="s">
        <v>164</v>
      </c>
      <c r="C46" s="18">
        <f>36729.24</f>
        <v>36729.24</v>
      </c>
      <c r="D46" s="19">
        <f>40691.14</f>
        <v>40691.14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428441.16</f>
        <v>428441.16</v>
      </c>
      <c r="D49" s="30">
        <f>548997.55</f>
        <v>548997.55000000005</v>
      </c>
    </row>
    <row r="50" spans="1:4">
      <c r="A50" s="8" t="s">
        <v>169</v>
      </c>
      <c r="B50" s="9" t="s">
        <v>170</v>
      </c>
      <c r="C50" s="14">
        <f>C8+C25+C40+C41+C42+C43+C44+C45+C49+C51+C52</f>
        <v>5846518.7999999998</v>
      </c>
      <c r="D50" s="15">
        <f>D8+D25+D40+D41+D42+D43+D44+D45+D49+D51+D52</f>
        <v>5846518.7999999998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3266879.46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3193368.42</f>
        <v>3193368.42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73511.04</f>
        <v>73511.039999999994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1744848</f>
        <v>1744848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5011727.46</v>
      </c>
      <c r="D59" s="27">
        <f>D54+D57+D58</f>
        <v>0</v>
      </c>
    </row>
    <row r="60" spans="1:4" ht="25.5">
      <c r="A60" s="33" t="s">
        <v>188</v>
      </c>
      <c r="B60" s="9"/>
      <c r="C60" s="34">
        <v>21702</v>
      </c>
      <c r="D60" s="35">
        <v>21702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305</v>
      </c>
      <c r="D7" t="s">
        <v>305</v>
      </c>
    </row>
    <row r="8" spans="3:4">
      <c r="C8" t="s">
        <v>305</v>
      </c>
      <c r="D8" t="s">
        <v>305</v>
      </c>
    </row>
    <row r="9" spans="3:4">
      <c r="C9" t="s">
        <v>305</v>
      </c>
      <c r="D9" t="s">
        <v>305</v>
      </c>
    </row>
    <row r="10" spans="3:4">
      <c r="C10" t="s">
        <v>305</v>
      </c>
      <c r="D10" t="s">
        <v>305</v>
      </c>
    </row>
    <row r="11" spans="3:4">
      <c r="C11" t="s">
        <v>305</v>
      </c>
      <c r="D11" t="s">
        <v>305</v>
      </c>
    </row>
    <row r="12" spans="3:4">
      <c r="C12" t="s">
        <v>305</v>
      </c>
      <c r="D12" t="s">
        <v>305</v>
      </c>
    </row>
    <row r="13" spans="3:4">
      <c r="C13" t="s">
        <v>305</v>
      </c>
      <c r="D13" t="s">
        <v>305</v>
      </c>
    </row>
    <row r="14" spans="3:4">
      <c r="C14" t="s">
        <v>305</v>
      </c>
      <c r="D14" t="s">
        <v>305</v>
      </c>
    </row>
    <row r="15" spans="3:4">
      <c r="C15" t="s">
        <v>305</v>
      </c>
      <c r="D15" t="s">
        <v>305</v>
      </c>
    </row>
    <row r="16" spans="3:4">
      <c r="C16" t="s">
        <v>305</v>
      </c>
      <c r="D16" t="s">
        <v>305</v>
      </c>
    </row>
    <row r="17" spans="3:4">
      <c r="C17" t="s">
        <v>305</v>
      </c>
      <c r="D17" t="s">
        <v>305</v>
      </c>
    </row>
    <row r="18" spans="3:4">
      <c r="C18" t="s">
        <v>305</v>
      </c>
      <c r="D18" t="s">
        <v>305</v>
      </c>
    </row>
    <row r="19" spans="3:4">
      <c r="C19" t="s">
        <v>305</v>
      </c>
      <c r="D19" t="s">
        <v>305</v>
      </c>
    </row>
    <row r="20" spans="3:4">
      <c r="C20" t="s">
        <v>305</v>
      </c>
      <c r="D20" t="s">
        <v>305</v>
      </c>
    </row>
    <row r="21" spans="3:4">
      <c r="C21" t="s">
        <v>305</v>
      </c>
      <c r="D21" t="s">
        <v>305</v>
      </c>
    </row>
    <row r="22" spans="3:4">
      <c r="C22" t="s">
        <v>305</v>
      </c>
      <c r="D22" t="s">
        <v>305</v>
      </c>
    </row>
    <row r="23" spans="3:4">
      <c r="C23" t="s">
        <v>305</v>
      </c>
      <c r="D23" t="s">
        <v>305</v>
      </c>
    </row>
    <row r="24" spans="3:4">
      <c r="C24" t="s">
        <v>305</v>
      </c>
      <c r="D24" t="s">
        <v>305</v>
      </c>
    </row>
    <row r="25" spans="3:4">
      <c r="C25" t="s">
        <v>305</v>
      </c>
      <c r="D25" t="s">
        <v>305</v>
      </c>
    </row>
    <row r="26" spans="3:4">
      <c r="C26" t="s">
        <v>305</v>
      </c>
      <c r="D26" t="s">
        <v>305</v>
      </c>
    </row>
    <row r="27" spans="3:4">
      <c r="C27" t="s">
        <v>305</v>
      </c>
      <c r="D27" t="s">
        <v>305</v>
      </c>
    </row>
    <row r="28" spans="3:4">
      <c r="C28" t="s">
        <v>305</v>
      </c>
      <c r="D28" t="s">
        <v>305</v>
      </c>
    </row>
    <row r="29" spans="3:4">
      <c r="C29" t="s">
        <v>305</v>
      </c>
      <c r="D29" t="s">
        <v>305</v>
      </c>
    </row>
    <row r="30" spans="3:4">
      <c r="C30" t="s">
        <v>305</v>
      </c>
      <c r="D30" t="s">
        <v>305</v>
      </c>
    </row>
    <row r="31" spans="3:4">
      <c r="C31" t="s">
        <v>305</v>
      </c>
      <c r="D31" t="s">
        <v>305</v>
      </c>
    </row>
    <row r="32" spans="3:4">
      <c r="C32" t="s">
        <v>305</v>
      </c>
      <c r="D32" t="s">
        <v>305</v>
      </c>
    </row>
    <row r="33" spans="3:4">
      <c r="C33" t="s">
        <v>305</v>
      </c>
      <c r="D33" t="s">
        <v>305</v>
      </c>
    </row>
    <row r="34" spans="3:4">
      <c r="C34" t="s">
        <v>305</v>
      </c>
      <c r="D34" t="s">
        <v>305</v>
      </c>
    </row>
    <row r="35" spans="3:4">
      <c r="C35" t="s">
        <v>305</v>
      </c>
      <c r="D35" t="s">
        <v>305</v>
      </c>
    </row>
    <row r="36" spans="3:4">
      <c r="C36" t="s">
        <v>305</v>
      </c>
      <c r="D36" t="s">
        <v>305</v>
      </c>
    </row>
    <row r="37" spans="3:4">
      <c r="C37" t="s">
        <v>305</v>
      </c>
      <c r="D37" t="s">
        <v>305</v>
      </c>
    </row>
    <row r="38" spans="3:4">
      <c r="C38" t="s">
        <v>305</v>
      </c>
      <c r="D38" t="s">
        <v>305</v>
      </c>
    </row>
    <row r="39" spans="3:4">
      <c r="C39" t="s">
        <v>305</v>
      </c>
      <c r="D39" t="s">
        <v>305</v>
      </c>
    </row>
    <row r="40" spans="3:4">
      <c r="C40" t="s">
        <v>305</v>
      </c>
      <c r="D40" t="s">
        <v>305</v>
      </c>
    </row>
    <row r="41" spans="3:4">
      <c r="C41" t="s">
        <v>305</v>
      </c>
      <c r="D41" t="s">
        <v>305</v>
      </c>
    </row>
    <row r="42" spans="3:4">
      <c r="C42" t="s">
        <v>305</v>
      </c>
      <c r="D42" t="s">
        <v>305</v>
      </c>
    </row>
    <row r="43" spans="3:4">
      <c r="C43" t="s">
        <v>305</v>
      </c>
      <c r="D43" t="s">
        <v>305</v>
      </c>
    </row>
    <row r="44" spans="3:4">
      <c r="C44" t="s">
        <v>305</v>
      </c>
      <c r="D44" t="s">
        <v>305</v>
      </c>
    </row>
    <row r="45" spans="3:4">
      <c r="C45" t="s">
        <v>305</v>
      </c>
      <c r="D45" t="s">
        <v>305</v>
      </c>
    </row>
    <row r="46" spans="3:4">
      <c r="C46" t="s">
        <v>305</v>
      </c>
      <c r="D46" t="s">
        <v>305</v>
      </c>
    </row>
    <row r="47" spans="3:4">
      <c r="C47" t="s">
        <v>305</v>
      </c>
      <c r="D47" t="s">
        <v>305</v>
      </c>
    </row>
    <row r="48" spans="3:4">
      <c r="C48" t="s">
        <v>305</v>
      </c>
      <c r="D48" t="s">
        <v>305</v>
      </c>
    </row>
    <row r="49" spans="3:4">
      <c r="C49" t="s">
        <v>305</v>
      </c>
      <c r="D49" t="s">
        <v>305</v>
      </c>
    </row>
    <row r="50" spans="3:4">
      <c r="C50" t="s">
        <v>305</v>
      </c>
      <c r="D50" t="s">
        <v>305</v>
      </c>
    </row>
    <row r="51" spans="3:4">
      <c r="C51" t="s">
        <v>305</v>
      </c>
      <c r="D51" t="s">
        <v>305</v>
      </c>
    </row>
    <row r="52" spans="3:4">
      <c r="C52" t="s">
        <v>305</v>
      </c>
      <c r="D52" t="s">
        <v>305</v>
      </c>
    </row>
    <row r="53" spans="3:4">
      <c r="C53" t="s">
        <v>305</v>
      </c>
      <c r="D53" t="s">
        <v>305</v>
      </c>
    </row>
    <row r="54" spans="3:4">
      <c r="C54" t="s">
        <v>305</v>
      </c>
      <c r="D54" t="s">
        <v>305</v>
      </c>
    </row>
    <row r="55" spans="3:4">
      <c r="C55" t="s">
        <v>305</v>
      </c>
      <c r="D55" t="s">
        <v>305</v>
      </c>
    </row>
    <row r="56" spans="3:4">
      <c r="C56" t="s">
        <v>305</v>
      </c>
      <c r="D56" t="s">
        <v>305</v>
      </c>
    </row>
    <row r="57" spans="3:4">
      <c r="C57" t="s">
        <v>305</v>
      </c>
      <c r="D57" t="s">
        <v>305</v>
      </c>
    </row>
    <row r="58" spans="3:4">
      <c r="C58" t="s">
        <v>305</v>
      </c>
      <c r="D58" t="s">
        <v>305</v>
      </c>
    </row>
    <row r="59" spans="3:4">
      <c r="C59" t="s">
        <v>305</v>
      </c>
      <c r="D59" t="s">
        <v>305</v>
      </c>
    </row>
    <row r="60" spans="3:4">
      <c r="C60" t="s">
        <v>305</v>
      </c>
      <c r="D60" t="s">
        <v>305</v>
      </c>
    </row>
    <row r="61" spans="3:4">
      <c r="C61" t="s">
        <v>305</v>
      </c>
      <c r="D61" t="s">
        <v>305</v>
      </c>
    </row>
    <row r="62" spans="3:4">
      <c r="C62" t="s">
        <v>305</v>
      </c>
      <c r="D62" t="s">
        <v>305</v>
      </c>
    </row>
    <row r="63" spans="3:4">
      <c r="C63" t="s">
        <v>305</v>
      </c>
      <c r="D63" t="s">
        <v>305</v>
      </c>
    </row>
    <row r="64" spans="3:4">
      <c r="C64" t="s">
        <v>305</v>
      </c>
      <c r="D64" t="s">
        <v>305</v>
      </c>
    </row>
    <row r="65" spans="3:4">
      <c r="C65" t="s">
        <v>305</v>
      </c>
      <c r="D65" t="s">
        <v>305</v>
      </c>
    </row>
  </sheetData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304</v>
      </c>
      <c r="D7" t="s">
        <v>304</v>
      </c>
    </row>
    <row r="8" spans="3:4">
      <c r="C8" t="s">
        <v>304</v>
      </c>
      <c r="D8" t="s">
        <v>304</v>
      </c>
    </row>
    <row r="9" spans="3:4">
      <c r="C9" t="s">
        <v>304</v>
      </c>
      <c r="D9" t="s">
        <v>304</v>
      </c>
    </row>
    <row r="10" spans="3:4">
      <c r="C10" t="s">
        <v>304</v>
      </c>
      <c r="D10" t="s">
        <v>304</v>
      </c>
    </row>
    <row r="11" spans="3:4">
      <c r="C11" t="s">
        <v>304</v>
      </c>
      <c r="D11" t="s">
        <v>304</v>
      </c>
    </row>
    <row r="12" spans="3:4">
      <c r="C12" t="s">
        <v>304</v>
      </c>
      <c r="D12" t="s">
        <v>304</v>
      </c>
    </row>
    <row r="13" spans="3:4">
      <c r="C13" t="s">
        <v>304</v>
      </c>
      <c r="D13" t="s">
        <v>304</v>
      </c>
    </row>
    <row r="14" spans="3:4">
      <c r="C14" t="s">
        <v>304</v>
      </c>
      <c r="D14" t="s">
        <v>304</v>
      </c>
    </row>
    <row r="15" spans="3:4">
      <c r="C15" t="s">
        <v>304</v>
      </c>
      <c r="D15" t="s">
        <v>304</v>
      </c>
    </row>
    <row r="16" spans="3:4">
      <c r="C16" t="s">
        <v>304</v>
      </c>
      <c r="D16" t="s">
        <v>304</v>
      </c>
    </row>
    <row r="17" spans="3:4">
      <c r="C17" t="s">
        <v>304</v>
      </c>
      <c r="D17" t="s">
        <v>304</v>
      </c>
    </row>
    <row r="18" spans="3:4">
      <c r="C18" t="s">
        <v>304</v>
      </c>
      <c r="D18" t="s">
        <v>304</v>
      </c>
    </row>
    <row r="19" spans="3:4">
      <c r="C19" t="s">
        <v>304</v>
      </c>
      <c r="D19" t="s">
        <v>304</v>
      </c>
    </row>
    <row r="20" spans="3:4">
      <c r="C20" t="s">
        <v>304</v>
      </c>
      <c r="D20" t="s">
        <v>304</v>
      </c>
    </row>
    <row r="21" spans="3:4">
      <c r="C21" t="s">
        <v>304</v>
      </c>
      <c r="D21" t="s">
        <v>304</v>
      </c>
    </row>
    <row r="22" spans="3:4">
      <c r="C22" t="s">
        <v>304</v>
      </c>
      <c r="D22" t="s">
        <v>304</v>
      </c>
    </row>
    <row r="23" spans="3:4">
      <c r="C23" t="s">
        <v>304</v>
      </c>
      <c r="D23" t="s">
        <v>304</v>
      </c>
    </row>
    <row r="24" spans="3:4">
      <c r="C24" t="s">
        <v>304</v>
      </c>
      <c r="D24" t="s">
        <v>304</v>
      </c>
    </row>
    <row r="25" spans="3:4">
      <c r="C25" t="s">
        <v>304</v>
      </c>
      <c r="D25" t="s">
        <v>304</v>
      </c>
    </row>
    <row r="26" spans="3:4">
      <c r="C26" t="s">
        <v>304</v>
      </c>
      <c r="D26" t="s">
        <v>304</v>
      </c>
    </row>
    <row r="27" spans="3:4">
      <c r="C27" t="s">
        <v>304</v>
      </c>
      <c r="D27" t="s">
        <v>304</v>
      </c>
    </row>
    <row r="28" spans="3:4">
      <c r="C28" t="s">
        <v>304</v>
      </c>
      <c r="D28" t="s">
        <v>304</v>
      </c>
    </row>
    <row r="29" spans="3:4">
      <c r="C29" t="s">
        <v>304</v>
      </c>
      <c r="D29" t="s">
        <v>304</v>
      </c>
    </row>
    <row r="30" spans="3:4">
      <c r="C30" t="s">
        <v>304</v>
      </c>
      <c r="D30" t="s">
        <v>304</v>
      </c>
    </row>
    <row r="31" spans="3:4">
      <c r="C31" t="s">
        <v>304</v>
      </c>
      <c r="D31" t="s">
        <v>304</v>
      </c>
    </row>
    <row r="32" spans="3:4">
      <c r="C32" t="s">
        <v>304</v>
      </c>
      <c r="D32" t="s">
        <v>304</v>
      </c>
    </row>
    <row r="33" spans="3:4">
      <c r="C33" t="s">
        <v>304</v>
      </c>
      <c r="D33" t="s">
        <v>304</v>
      </c>
    </row>
    <row r="34" spans="3:4">
      <c r="C34" t="s">
        <v>304</v>
      </c>
      <c r="D34" t="s">
        <v>304</v>
      </c>
    </row>
    <row r="35" spans="3:4">
      <c r="C35" t="s">
        <v>304</v>
      </c>
      <c r="D35" t="s">
        <v>304</v>
      </c>
    </row>
    <row r="36" spans="3:4">
      <c r="C36" t="s">
        <v>304</v>
      </c>
      <c r="D36" t="s">
        <v>304</v>
      </c>
    </row>
    <row r="37" spans="3:4">
      <c r="C37" t="s">
        <v>304</v>
      </c>
      <c r="D37" t="s">
        <v>304</v>
      </c>
    </row>
    <row r="38" spans="3:4">
      <c r="C38" t="s">
        <v>304</v>
      </c>
      <c r="D38" t="s">
        <v>304</v>
      </c>
    </row>
    <row r="39" spans="3:4">
      <c r="C39" t="s">
        <v>304</v>
      </c>
      <c r="D39" t="s">
        <v>304</v>
      </c>
    </row>
    <row r="40" spans="3:4">
      <c r="C40" t="s">
        <v>304</v>
      </c>
      <c r="D40" t="s">
        <v>304</v>
      </c>
    </row>
    <row r="41" spans="3:4">
      <c r="C41" t="s">
        <v>304</v>
      </c>
      <c r="D41" t="s">
        <v>304</v>
      </c>
    </row>
    <row r="42" spans="3:4">
      <c r="C42" t="s">
        <v>304</v>
      </c>
      <c r="D42" t="s">
        <v>304</v>
      </c>
    </row>
    <row r="43" spans="3:4">
      <c r="C43" t="s">
        <v>304</v>
      </c>
      <c r="D43" t="s">
        <v>304</v>
      </c>
    </row>
    <row r="44" spans="3:4">
      <c r="C44" t="s">
        <v>304</v>
      </c>
      <c r="D44" t="s">
        <v>304</v>
      </c>
    </row>
    <row r="45" spans="3:4">
      <c r="C45" t="s">
        <v>304</v>
      </c>
      <c r="D45" t="s">
        <v>304</v>
      </c>
    </row>
    <row r="46" spans="3:4">
      <c r="C46" t="s">
        <v>304</v>
      </c>
      <c r="D46" t="s">
        <v>304</v>
      </c>
    </row>
    <row r="47" spans="3:4">
      <c r="C47" t="s">
        <v>304</v>
      </c>
      <c r="D47" t="s">
        <v>304</v>
      </c>
    </row>
    <row r="48" spans="3:4">
      <c r="C48" t="s">
        <v>304</v>
      </c>
      <c r="D48" t="s">
        <v>304</v>
      </c>
    </row>
    <row r="49" spans="3:4">
      <c r="C49" t="s">
        <v>304</v>
      </c>
      <c r="D49" t="s">
        <v>304</v>
      </c>
    </row>
    <row r="50" spans="3:4">
      <c r="C50" t="s">
        <v>304</v>
      </c>
      <c r="D50" t="s">
        <v>304</v>
      </c>
    </row>
    <row r="51" spans="3:4">
      <c r="C51" t="s">
        <v>304</v>
      </c>
      <c r="D51" t="s">
        <v>304</v>
      </c>
    </row>
    <row r="52" spans="3:4">
      <c r="C52" t="s">
        <v>304</v>
      </c>
      <c r="D52" t="s">
        <v>304</v>
      </c>
    </row>
    <row r="53" spans="3:4">
      <c r="C53" t="s">
        <v>304</v>
      </c>
      <c r="D53" t="s">
        <v>304</v>
      </c>
    </row>
    <row r="54" spans="3:4">
      <c r="C54" t="s">
        <v>304</v>
      </c>
      <c r="D54" t="s">
        <v>304</v>
      </c>
    </row>
    <row r="55" spans="3:4">
      <c r="C55" t="s">
        <v>304</v>
      </c>
      <c r="D55" t="s">
        <v>304</v>
      </c>
    </row>
    <row r="56" spans="3:4">
      <c r="C56" t="s">
        <v>304</v>
      </c>
      <c r="D56" t="s">
        <v>304</v>
      </c>
    </row>
    <row r="57" spans="3:4">
      <c r="C57" t="s">
        <v>304</v>
      </c>
      <c r="D57" t="s">
        <v>304</v>
      </c>
    </row>
    <row r="58" spans="3:4">
      <c r="C58" t="s">
        <v>304</v>
      </c>
      <c r="D58" t="s">
        <v>304</v>
      </c>
    </row>
    <row r="59" spans="3:4">
      <c r="C59" t="s">
        <v>304</v>
      </c>
      <c r="D59" t="s">
        <v>304</v>
      </c>
    </row>
    <row r="60" spans="3:4">
      <c r="C60" t="s">
        <v>304</v>
      </c>
      <c r="D60" t="s">
        <v>304</v>
      </c>
    </row>
    <row r="61" spans="3:4">
      <c r="C61" t="s">
        <v>304</v>
      </c>
      <c r="D61" t="s">
        <v>304</v>
      </c>
    </row>
    <row r="62" spans="3:4">
      <c r="C62" t="s">
        <v>304</v>
      </c>
      <c r="D62" t="s">
        <v>304</v>
      </c>
    </row>
    <row r="63" spans="3:4">
      <c r="C63" t="s">
        <v>304</v>
      </c>
      <c r="D63" t="s">
        <v>304</v>
      </c>
    </row>
    <row r="64" spans="3:4">
      <c r="C64" t="s">
        <v>304</v>
      </c>
      <c r="D64" t="s">
        <v>304</v>
      </c>
    </row>
    <row r="65" spans="3:4">
      <c r="C65" t="s">
        <v>304</v>
      </c>
      <c r="D65" t="s">
        <v>304</v>
      </c>
    </row>
  </sheetData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302</v>
      </c>
      <c r="D7" t="s">
        <v>302</v>
      </c>
    </row>
    <row r="8" spans="3:4">
      <c r="C8" t="s">
        <v>302</v>
      </c>
      <c r="D8" t="s">
        <v>302</v>
      </c>
    </row>
    <row r="9" spans="3:4">
      <c r="C9" t="s">
        <v>302</v>
      </c>
      <c r="D9" t="s">
        <v>302</v>
      </c>
    </row>
    <row r="10" spans="3:4">
      <c r="C10" t="s">
        <v>302</v>
      </c>
      <c r="D10" t="s">
        <v>302</v>
      </c>
    </row>
    <row r="11" spans="3:4">
      <c r="C11" t="s">
        <v>302</v>
      </c>
      <c r="D11" t="s">
        <v>302</v>
      </c>
    </row>
    <row r="12" spans="3:4">
      <c r="C12" t="s">
        <v>302</v>
      </c>
      <c r="D12" t="s">
        <v>302</v>
      </c>
    </row>
    <row r="13" spans="3:4">
      <c r="C13" t="s">
        <v>302</v>
      </c>
      <c r="D13" t="s">
        <v>302</v>
      </c>
    </row>
    <row r="14" spans="3:4">
      <c r="C14" t="s">
        <v>302</v>
      </c>
      <c r="D14" t="s">
        <v>302</v>
      </c>
    </row>
    <row r="15" spans="3:4">
      <c r="C15" t="s">
        <v>302</v>
      </c>
      <c r="D15" t="s">
        <v>302</v>
      </c>
    </row>
    <row r="16" spans="3:4">
      <c r="C16" t="s">
        <v>302</v>
      </c>
      <c r="D16" t="s">
        <v>302</v>
      </c>
    </row>
    <row r="17" spans="3:4">
      <c r="C17" t="s">
        <v>302</v>
      </c>
      <c r="D17" t="s">
        <v>302</v>
      </c>
    </row>
    <row r="18" spans="3:4">
      <c r="C18" t="s">
        <v>302</v>
      </c>
      <c r="D18" t="s">
        <v>302</v>
      </c>
    </row>
    <row r="19" spans="3:4">
      <c r="C19" t="s">
        <v>302</v>
      </c>
      <c r="D19" t="s">
        <v>302</v>
      </c>
    </row>
    <row r="20" spans="3:4">
      <c r="C20" t="s">
        <v>302</v>
      </c>
      <c r="D20" t="s">
        <v>302</v>
      </c>
    </row>
    <row r="21" spans="3:4">
      <c r="C21" t="s">
        <v>302</v>
      </c>
      <c r="D21" t="s">
        <v>302</v>
      </c>
    </row>
    <row r="22" spans="3:4">
      <c r="C22" t="s">
        <v>302</v>
      </c>
      <c r="D22" t="s">
        <v>302</v>
      </c>
    </row>
    <row r="23" spans="3:4">
      <c r="C23" t="s">
        <v>302</v>
      </c>
      <c r="D23" t="s">
        <v>302</v>
      </c>
    </row>
    <row r="24" spans="3:4">
      <c r="C24" t="s">
        <v>302</v>
      </c>
      <c r="D24" t="s">
        <v>302</v>
      </c>
    </row>
    <row r="25" spans="3:4">
      <c r="C25" t="s">
        <v>302</v>
      </c>
      <c r="D25" t="s">
        <v>302</v>
      </c>
    </row>
    <row r="26" spans="3:4">
      <c r="C26" t="s">
        <v>302</v>
      </c>
      <c r="D26" t="s">
        <v>302</v>
      </c>
    </row>
    <row r="27" spans="3:4">
      <c r="C27" t="s">
        <v>302</v>
      </c>
      <c r="D27" t="s">
        <v>302</v>
      </c>
    </row>
    <row r="28" spans="3:4">
      <c r="C28" t="s">
        <v>302</v>
      </c>
      <c r="D28" t="s">
        <v>302</v>
      </c>
    </row>
    <row r="29" spans="3:4">
      <c r="C29" t="s">
        <v>302</v>
      </c>
      <c r="D29" t="s">
        <v>302</v>
      </c>
    </row>
    <row r="30" spans="3:4">
      <c r="C30" t="s">
        <v>302</v>
      </c>
      <c r="D30" t="s">
        <v>302</v>
      </c>
    </row>
    <row r="31" spans="3:4">
      <c r="C31" t="s">
        <v>302</v>
      </c>
      <c r="D31" t="s">
        <v>302</v>
      </c>
    </row>
    <row r="32" spans="3:4">
      <c r="C32" t="s">
        <v>302</v>
      </c>
      <c r="D32" t="s">
        <v>302</v>
      </c>
    </row>
    <row r="33" spans="3:4">
      <c r="C33" t="s">
        <v>302</v>
      </c>
      <c r="D33" t="s">
        <v>302</v>
      </c>
    </row>
    <row r="34" spans="3:4">
      <c r="C34" t="s">
        <v>302</v>
      </c>
      <c r="D34" t="s">
        <v>302</v>
      </c>
    </row>
    <row r="35" spans="3:4">
      <c r="C35" t="s">
        <v>302</v>
      </c>
      <c r="D35" t="s">
        <v>302</v>
      </c>
    </row>
    <row r="36" spans="3:4">
      <c r="C36" t="s">
        <v>302</v>
      </c>
      <c r="D36" t="s">
        <v>302</v>
      </c>
    </row>
    <row r="37" spans="3:4">
      <c r="C37" t="s">
        <v>302</v>
      </c>
      <c r="D37" t="s">
        <v>302</v>
      </c>
    </row>
    <row r="38" spans="3:4">
      <c r="C38" t="s">
        <v>302</v>
      </c>
      <c r="D38" t="s">
        <v>302</v>
      </c>
    </row>
    <row r="39" spans="3:4">
      <c r="C39" t="s">
        <v>302</v>
      </c>
      <c r="D39" t="s">
        <v>302</v>
      </c>
    </row>
    <row r="40" spans="3:4">
      <c r="C40" t="s">
        <v>302</v>
      </c>
      <c r="D40" t="s">
        <v>302</v>
      </c>
    </row>
    <row r="41" spans="3:4">
      <c r="C41" t="s">
        <v>302</v>
      </c>
      <c r="D41" t="s">
        <v>302</v>
      </c>
    </row>
    <row r="42" spans="3:4">
      <c r="C42" t="s">
        <v>302</v>
      </c>
      <c r="D42" t="s">
        <v>302</v>
      </c>
    </row>
    <row r="43" spans="3:4">
      <c r="C43" t="s">
        <v>302</v>
      </c>
      <c r="D43" t="s">
        <v>302</v>
      </c>
    </row>
    <row r="44" spans="3:4">
      <c r="C44" t="s">
        <v>302</v>
      </c>
      <c r="D44" t="s">
        <v>302</v>
      </c>
    </row>
    <row r="45" spans="3:4">
      <c r="C45" t="s">
        <v>302</v>
      </c>
      <c r="D45" t="s">
        <v>302</v>
      </c>
    </row>
    <row r="46" spans="3:4">
      <c r="C46" t="s">
        <v>302</v>
      </c>
      <c r="D46" t="s">
        <v>302</v>
      </c>
    </row>
    <row r="47" spans="3:4">
      <c r="C47" t="s">
        <v>302</v>
      </c>
      <c r="D47" t="s">
        <v>302</v>
      </c>
    </row>
    <row r="48" spans="3:4">
      <c r="C48" t="s">
        <v>302</v>
      </c>
      <c r="D48" t="s">
        <v>302</v>
      </c>
    </row>
    <row r="49" spans="3:4">
      <c r="C49" t="s">
        <v>302</v>
      </c>
      <c r="D49" t="s">
        <v>302</v>
      </c>
    </row>
    <row r="50" spans="3:4">
      <c r="C50" t="s">
        <v>302</v>
      </c>
      <c r="D50" t="s">
        <v>302</v>
      </c>
    </row>
    <row r="51" spans="3:4">
      <c r="C51" t="s">
        <v>302</v>
      </c>
      <c r="D51" t="s">
        <v>302</v>
      </c>
    </row>
    <row r="52" spans="3:4">
      <c r="C52" t="s">
        <v>302</v>
      </c>
      <c r="D52" t="s">
        <v>302</v>
      </c>
    </row>
    <row r="53" spans="3:4">
      <c r="C53" t="s">
        <v>302</v>
      </c>
      <c r="D53" t="s">
        <v>302</v>
      </c>
    </row>
    <row r="54" spans="3:4">
      <c r="C54" t="s">
        <v>302</v>
      </c>
      <c r="D54" t="s">
        <v>302</v>
      </c>
    </row>
    <row r="55" spans="3:4">
      <c r="C55" t="s">
        <v>302</v>
      </c>
      <c r="D55" t="s">
        <v>302</v>
      </c>
    </row>
    <row r="56" spans="3:4">
      <c r="C56" t="s">
        <v>302</v>
      </c>
      <c r="D56" t="s">
        <v>302</v>
      </c>
    </row>
    <row r="57" spans="3:4">
      <c r="C57" t="s">
        <v>302</v>
      </c>
      <c r="D57" t="s">
        <v>302</v>
      </c>
    </row>
    <row r="58" spans="3:4">
      <c r="C58" t="s">
        <v>302</v>
      </c>
      <c r="D58" t="s">
        <v>302</v>
      </c>
    </row>
    <row r="59" spans="3:4">
      <c r="C59" t="s">
        <v>302</v>
      </c>
      <c r="D59" t="s">
        <v>302</v>
      </c>
    </row>
    <row r="60" spans="3:4">
      <c r="C60" t="s">
        <v>302</v>
      </c>
      <c r="D60" t="s">
        <v>302</v>
      </c>
    </row>
    <row r="61" spans="3:4">
      <c r="C61" t="s">
        <v>302</v>
      </c>
      <c r="D61" t="s">
        <v>302</v>
      </c>
    </row>
    <row r="62" spans="3:4">
      <c r="C62" t="s">
        <v>302</v>
      </c>
      <c r="D62" t="s">
        <v>302</v>
      </c>
    </row>
    <row r="63" spans="3:4">
      <c r="C63" t="s">
        <v>302</v>
      </c>
      <c r="D63" t="s">
        <v>302</v>
      </c>
    </row>
    <row r="64" spans="3:4">
      <c r="C64" t="s">
        <v>302</v>
      </c>
      <c r="D64" t="s">
        <v>302</v>
      </c>
    </row>
    <row r="65" spans="3:4">
      <c r="C65" t="s">
        <v>302</v>
      </c>
      <c r="D65" t="s">
        <v>302</v>
      </c>
    </row>
  </sheetData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300</v>
      </c>
      <c r="D7" t="s">
        <v>300</v>
      </c>
    </row>
    <row r="8" spans="3:4">
      <c r="C8" t="s">
        <v>300</v>
      </c>
      <c r="D8" t="s">
        <v>300</v>
      </c>
    </row>
    <row r="9" spans="3:4">
      <c r="C9" t="s">
        <v>300</v>
      </c>
      <c r="D9" t="s">
        <v>300</v>
      </c>
    </row>
    <row r="10" spans="3:4">
      <c r="C10" t="s">
        <v>300</v>
      </c>
      <c r="D10" t="s">
        <v>300</v>
      </c>
    </row>
    <row r="11" spans="3:4">
      <c r="C11" t="s">
        <v>300</v>
      </c>
      <c r="D11" t="s">
        <v>300</v>
      </c>
    </row>
    <row r="12" spans="3:4">
      <c r="C12" t="s">
        <v>300</v>
      </c>
      <c r="D12" t="s">
        <v>300</v>
      </c>
    </row>
    <row r="13" spans="3:4">
      <c r="C13" t="s">
        <v>300</v>
      </c>
      <c r="D13" t="s">
        <v>300</v>
      </c>
    </row>
    <row r="14" spans="3:4">
      <c r="C14" t="s">
        <v>300</v>
      </c>
      <c r="D14" t="s">
        <v>300</v>
      </c>
    </row>
    <row r="15" spans="3:4">
      <c r="C15" t="s">
        <v>300</v>
      </c>
      <c r="D15" t="s">
        <v>300</v>
      </c>
    </row>
    <row r="16" spans="3:4">
      <c r="C16" t="s">
        <v>300</v>
      </c>
      <c r="D16" t="s">
        <v>300</v>
      </c>
    </row>
    <row r="17" spans="3:4">
      <c r="C17" t="s">
        <v>300</v>
      </c>
      <c r="D17" t="s">
        <v>300</v>
      </c>
    </row>
    <row r="18" spans="3:4">
      <c r="C18" t="s">
        <v>300</v>
      </c>
      <c r="D18" t="s">
        <v>300</v>
      </c>
    </row>
    <row r="19" spans="3:4">
      <c r="C19" t="s">
        <v>300</v>
      </c>
      <c r="D19" t="s">
        <v>300</v>
      </c>
    </row>
    <row r="20" spans="3:4">
      <c r="C20" t="s">
        <v>300</v>
      </c>
      <c r="D20" t="s">
        <v>300</v>
      </c>
    </row>
    <row r="21" spans="3:4">
      <c r="C21" t="s">
        <v>300</v>
      </c>
      <c r="D21" t="s">
        <v>300</v>
      </c>
    </row>
    <row r="22" spans="3:4">
      <c r="C22" t="s">
        <v>300</v>
      </c>
      <c r="D22" t="s">
        <v>300</v>
      </c>
    </row>
    <row r="23" spans="3:4">
      <c r="C23" t="s">
        <v>300</v>
      </c>
      <c r="D23" t="s">
        <v>300</v>
      </c>
    </row>
    <row r="24" spans="3:4">
      <c r="C24" t="s">
        <v>300</v>
      </c>
      <c r="D24" t="s">
        <v>300</v>
      </c>
    </row>
    <row r="25" spans="3:4">
      <c r="C25" t="s">
        <v>300</v>
      </c>
      <c r="D25" t="s">
        <v>300</v>
      </c>
    </row>
    <row r="26" spans="3:4">
      <c r="C26" t="s">
        <v>300</v>
      </c>
      <c r="D26" t="s">
        <v>300</v>
      </c>
    </row>
    <row r="27" spans="3:4">
      <c r="C27" t="s">
        <v>300</v>
      </c>
      <c r="D27" t="s">
        <v>300</v>
      </c>
    </row>
    <row r="28" spans="3:4">
      <c r="C28" t="s">
        <v>300</v>
      </c>
      <c r="D28" t="s">
        <v>300</v>
      </c>
    </row>
    <row r="29" spans="3:4">
      <c r="C29" t="s">
        <v>300</v>
      </c>
      <c r="D29" t="s">
        <v>300</v>
      </c>
    </row>
    <row r="30" spans="3:4">
      <c r="C30" t="s">
        <v>300</v>
      </c>
      <c r="D30" t="s">
        <v>300</v>
      </c>
    </row>
    <row r="31" spans="3:4">
      <c r="C31" t="s">
        <v>300</v>
      </c>
      <c r="D31" t="s">
        <v>300</v>
      </c>
    </row>
    <row r="32" spans="3:4">
      <c r="C32" t="s">
        <v>300</v>
      </c>
      <c r="D32" t="s">
        <v>300</v>
      </c>
    </row>
    <row r="33" spans="3:4">
      <c r="C33" t="s">
        <v>300</v>
      </c>
      <c r="D33" t="s">
        <v>300</v>
      </c>
    </row>
    <row r="34" spans="3:4">
      <c r="C34" t="s">
        <v>300</v>
      </c>
      <c r="D34" t="s">
        <v>300</v>
      </c>
    </row>
    <row r="35" spans="3:4">
      <c r="C35" t="s">
        <v>300</v>
      </c>
      <c r="D35" t="s">
        <v>300</v>
      </c>
    </row>
    <row r="36" spans="3:4">
      <c r="C36" t="s">
        <v>300</v>
      </c>
      <c r="D36" t="s">
        <v>300</v>
      </c>
    </row>
    <row r="37" spans="3:4">
      <c r="C37" t="s">
        <v>300</v>
      </c>
      <c r="D37" t="s">
        <v>300</v>
      </c>
    </row>
    <row r="38" spans="3:4">
      <c r="C38" t="s">
        <v>300</v>
      </c>
      <c r="D38" t="s">
        <v>300</v>
      </c>
    </row>
    <row r="39" spans="3:4">
      <c r="C39" t="s">
        <v>300</v>
      </c>
      <c r="D39" t="s">
        <v>300</v>
      </c>
    </row>
    <row r="40" spans="3:4">
      <c r="C40" t="s">
        <v>300</v>
      </c>
      <c r="D40" t="s">
        <v>300</v>
      </c>
    </row>
    <row r="41" spans="3:4">
      <c r="C41" t="s">
        <v>300</v>
      </c>
      <c r="D41" t="s">
        <v>300</v>
      </c>
    </row>
    <row r="42" spans="3:4">
      <c r="C42" t="s">
        <v>300</v>
      </c>
      <c r="D42" t="s">
        <v>300</v>
      </c>
    </row>
    <row r="43" spans="3:4">
      <c r="C43" t="s">
        <v>300</v>
      </c>
      <c r="D43" t="s">
        <v>300</v>
      </c>
    </row>
    <row r="44" spans="3:4">
      <c r="C44" t="s">
        <v>300</v>
      </c>
      <c r="D44" t="s">
        <v>300</v>
      </c>
    </row>
    <row r="45" spans="3:4">
      <c r="C45" t="s">
        <v>300</v>
      </c>
      <c r="D45" t="s">
        <v>300</v>
      </c>
    </row>
    <row r="46" spans="3:4">
      <c r="C46" t="s">
        <v>300</v>
      </c>
      <c r="D46" t="s">
        <v>300</v>
      </c>
    </row>
    <row r="47" spans="3:4">
      <c r="C47" t="s">
        <v>300</v>
      </c>
      <c r="D47" t="s">
        <v>300</v>
      </c>
    </row>
    <row r="48" spans="3:4">
      <c r="C48" t="s">
        <v>300</v>
      </c>
      <c r="D48" t="s">
        <v>300</v>
      </c>
    </row>
    <row r="49" spans="3:4">
      <c r="C49" t="s">
        <v>300</v>
      </c>
      <c r="D49" t="s">
        <v>300</v>
      </c>
    </row>
    <row r="50" spans="3:4">
      <c r="C50" t="s">
        <v>300</v>
      </c>
      <c r="D50" t="s">
        <v>300</v>
      </c>
    </row>
    <row r="51" spans="3:4">
      <c r="C51" t="s">
        <v>300</v>
      </c>
      <c r="D51" t="s">
        <v>300</v>
      </c>
    </row>
    <row r="52" spans="3:4">
      <c r="C52" t="s">
        <v>300</v>
      </c>
      <c r="D52" t="s">
        <v>300</v>
      </c>
    </row>
    <row r="53" spans="3:4">
      <c r="C53" t="s">
        <v>300</v>
      </c>
      <c r="D53" t="s">
        <v>300</v>
      </c>
    </row>
    <row r="54" spans="3:4">
      <c r="C54" t="s">
        <v>300</v>
      </c>
      <c r="D54" t="s">
        <v>300</v>
      </c>
    </row>
    <row r="55" spans="3:4">
      <c r="C55" t="s">
        <v>300</v>
      </c>
      <c r="D55" t="s">
        <v>300</v>
      </c>
    </row>
    <row r="56" spans="3:4">
      <c r="C56" t="s">
        <v>300</v>
      </c>
      <c r="D56" t="s">
        <v>300</v>
      </c>
    </row>
    <row r="57" spans="3:4">
      <c r="C57" t="s">
        <v>300</v>
      </c>
      <c r="D57" t="s">
        <v>300</v>
      </c>
    </row>
    <row r="58" spans="3:4">
      <c r="C58" t="s">
        <v>300</v>
      </c>
      <c r="D58" t="s">
        <v>300</v>
      </c>
    </row>
    <row r="59" spans="3:4">
      <c r="C59" t="s">
        <v>300</v>
      </c>
      <c r="D59" t="s">
        <v>300</v>
      </c>
    </row>
    <row r="60" spans="3:4">
      <c r="C60" t="s">
        <v>300</v>
      </c>
      <c r="D60" t="s">
        <v>300</v>
      </c>
    </row>
    <row r="61" spans="3:4">
      <c r="C61" t="s">
        <v>300</v>
      </c>
      <c r="D61" t="s">
        <v>300</v>
      </c>
    </row>
    <row r="62" spans="3:4">
      <c r="C62" t="s">
        <v>300</v>
      </c>
      <c r="D62" t="s">
        <v>300</v>
      </c>
    </row>
    <row r="63" spans="3:4">
      <c r="C63" t="s">
        <v>300</v>
      </c>
      <c r="D63" t="s">
        <v>300</v>
      </c>
    </row>
    <row r="64" spans="3:4">
      <c r="C64" t="s">
        <v>300</v>
      </c>
      <c r="D64" t="s">
        <v>300</v>
      </c>
    </row>
    <row r="65" spans="3:4">
      <c r="C65" t="s">
        <v>300</v>
      </c>
      <c r="D65" t="s">
        <v>300</v>
      </c>
    </row>
  </sheetData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298</v>
      </c>
      <c r="D7" t="s">
        <v>298</v>
      </c>
    </row>
    <row r="8" spans="3:4">
      <c r="C8" t="s">
        <v>298</v>
      </c>
      <c r="D8" t="s">
        <v>298</v>
      </c>
    </row>
    <row r="9" spans="3:4">
      <c r="C9" t="s">
        <v>298</v>
      </c>
      <c r="D9" t="s">
        <v>298</v>
      </c>
    </row>
    <row r="10" spans="3:4">
      <c r="C10" t="s">
        <v>298</v>
      </c>
      <c r="D10" t="s">
        <v>298</v>
      </c>
    </row>
    <row r="11" spans="3:4">
      <c r="C11" t="s">
        <v>298</v>
      </c>
      <c r="D11" t="s">
        <v>298</v>
      </c>
    </row>
    <row r="12" spans="3:4">
      <c r="C12" t="s">
        <v>298</v>
      </c>
      <c r="D12" t="s">
        <v>298</v>
      </c>
    </row>
    <row r="13" spans="3:4">
      <c r="C13" t="s">
        <v>298</v>
      </c>
      <c r="D13" t="s">
        <v>298</v>
      </c>
    </row>
    <row r="14" spans="3:4">
      <c r="C14" t="s">
        <v>298</v>
      </c>
      <c r="D14" t="s">
        <v>298</v>
      </c>
    </row>
    <row r="15" spans="3:4">
      <c r="C15" t="s">
        <v>298</v>
      </c>
      <c r="D15" t="s">
        <v>298</v>
      </c>
    </row>
    <row r="16" spans="3:4">
      <c r="C16" t="s">
        <v>298</v>
      </c>
      <c r="D16" t="s">
        <v>298</v>
      </c>
    </row>
    <row r="17" spans="3:4">
      <c r="C17" t="s">
        <v>298</v>
      </c>
      <c r="D17" t="s">
        <v>298</v>
      </c>
    </row>
    <row r="18" spans="3:4">
      <c r="C18" t="s">
        <v>298</v>
      </c>
      <c r="D18" t="s">
        <v>298</v>
      </c>
    </row>
    <row r="19" spans="3:4">
      <c r="C19" t="s">
        <v>298</v>
      </c>
      <c r="D19" t="s">
        <v>298</v>
      </c>
    </row>
    <row r="20" spans="3:4">
      <c r="C20" t="s">
        <v>298</v>
      </c>
      <c r="D20" t="s">
        <v>298</v>
      </c>
    </row>
    <row r="21" spans="3:4">
      <c r="C21" t="s">
        <v>298</v>
      </c>
      <c r="D21" t="s">
        <v>298</v>
      </c>
    </row>
    <row r="22" spans="3:4">
      <c r="C22" t="s">
        <v>298</v>
      </c>
      <c r="D22" t="s">
        <v>298</v>
      </c>
    </row>
    <row r="23" spans="3:4">
      <c r="C23" t="s">
        <v>298</v>
      </c>
      <c r="D23" t="s">
        <v>298</v>
      </c>
    </row>
    <row r="24" spans="3:4">
      <c r="C24" t="s">
        <v>298</v>
      </c>
      <c r="D24" t="s">
        <v>298</v>
      </c>
    </row>
    <row r="25" spans="3:4">
      <c r="C25" t="s">
        <v>298</v>
      </c>
      <c r="D25" t="s">
        <v>298</v>
      </c>
    </row>
    <row r="26" spans="3:4">
      <c r="C26" t="s">
        <v>298</v>
      </c>
      <c r="D26" t="s">
        <v>298</v>
      </c>
    </row>
    <row r="27" spans="3:4">
      <c r="C27" t="s">
        <v>298</v>
      </c>
      <c r="D27" t="s">
        <v>298</v>
      </c>
    </row>
    <row r="28" spans="3:4">
      <c r="C28" t="s">
        <v>298</v>
      </c>
      <c r="D28" t="s">
        <v>298</v>
      </c>
    </row>
    <row r="29" spans="3:4">
      <c r="C29" t="s">
        <v>298</v>
      </c>
      <c r="D29" t="s">
        <v>298</v>
      </c>
    </row>
    <row r="30" spans="3:4">
      <c r="C30" t="s">
        <v>298</v>
      </c>
      <c r="D30" t="s">
        <v>298</v>
      </c>
    </row>
    <row r="31" spans="3:4">
      <c r="C31" t="s">
        <v>298</v>
      </c>
      <c r="D31" t="s">
        <v>298</v>
      </c>
    </row>
    <row r="32" spans="3:4">
      <c r="C32" t="s">
        <v>298</v>
      </c>
      <c r="D32" t="s">
        <v>298</v>
      </c>
    </row>
    <row r="33" spans="3:4">
      <c r="C33" t="s">
        <v>298</v>
      </c>
      <c r="D33" t="s">
        <v>298</v>
      </c>
    </row>
    <row r="34" spans="3:4">
      <c r="C34" t="s">
        <v>298</v>
      </c>
      <c r="D34" t="s">
        <v>298</v>
      </c>
    </row>
    <row r="35" spans="3:4">
      <c r="C35" t="s">
        <v>298</v>
      </c>
      <c r="D35" t="s">
        <v>298</v>
      </c>
    </row>
    <row r="36" spans="3:4">
      <c r="C36" t="s">
        <v>298</v>
      </c>
      <c r="D36" t="s">
        <v>298</v>
      </c>
    </row>
    <row r="37" spans="3:4">
      <c r="C37" t="s">
        <v>298</v>
      </c>
      <c r="D37" t="s">
        <v>298</v>
      </c>
    </row>
    <row r="38" spans="3:4">
      <c r="C38" t="s">
        <v>298</v>
      </c>
      <c r="D38" t="s">
        <v>298</v>
      </c>
    </row>
    <row r="39" spans="3:4">
      <c r="C39" t="s">
        <v>298</v>
      </c>
      <c r="D39" t="s">
        <v>298</v>
      </c>
    </row>
    <row r="40" spans="3:4">
      <c r="C40" t="s">
        <v>298</v>
      </c>
      <c r="D40" t="s">
        <v>298</v>
      </c>
    </row>
    <row r="41" spans="3:4">
      <c r="C41" t="s">
        <v>298</v>
      </c>
      <c r="D41" t="s">
        <v>298</v>
      </c>
    </row>
    <row r="42" spans="3:4">
      <c r="C42" t="s">
        <v>298</v>
      </c>
      <c r="D42" t="s">
        <v>298</v>
      </c>
    </row>
    <row r="43" spans="3:4">
      <c r="C43" t="s">
        <v>298</v>
      </c>
      <c r="D43" t="s">
        <v>298</v>
      </c>
    </row>
    <row r="44" spans="3:4">
      <c r="C44" t="s">
        <v>298</v>
      </c>
      <c r="D44" t="s">
        <v>298</v>
      </c>
    </row>
    <row r="45" spans="3:4">
      <c r="C45" t="s">
        <v>298</v>
      </c>
      <c r="D45" t="s">
        <v>298</v>
      </c>
    </row>
    <row r="46" spans="3:4">
      <c r="C46" t="s">
        <v>298</v>
      </c>
      <c r="D46" t="s">
        <v>298</v>
      </c>
    </row>
    <row r="47" spans="3:4">
      <c r="C47" t="s">
        <v>298</v>
      </c>
      <c r="D47" t="s">
        <v>298</v>
      </c>
    </row>
    <row r="48" spans="3:4">
      <c r="C48" t="s">
        <v>298</v>
      </c>
      <c r="D48" t="s">
        <v>298</v>
      </c>
    </row>
    <row r="49" spans="3:4">
      <c r="C49" t="s">
        <v>298</v>
      </c>
      <c r="D49" t="s">
        <v>298</v>
      </c>
    </row>
    <row r="50" spans="3:4">
      <c r="C50" t="s">
        <v>298</v>
      </c>
      <c r="D50" t="s">
        <v>298</v>
      </c>
    </row>
    <row r="51" spans="3:4">
      <c r="C51" t="s">
        <v>298</v>
      </c>
      <c r="D51" t="s">
        <v>298</v>
      </c>
    </row>
    <row r="52" spans="3:4">
      <c r="C52" t="s">
        <v>298</v>
      </c>
      <c r="D52" t="s">
        <v>298</v>
      </c>
    </row>
    <row r="53" spans="3:4">
      <c r="C53" t="s">
        <v>298</v>
      </c>
      <c r="D53" t="s">
        <v>298</v>
      </c>
    </row>
    <row r="54" spans="3:4">
      <c r="C54" t="s">
        <v>298</v>
      </c>
      <c r="D54" t="s">
        <v>298</v>
      </c>
    </row>
    <row r="55" spans="3:4">
      <c r="C55" t="s">
        <v>298</v>
      </c>
      <c r="D55" t="s">
        <v>298</v>
      </c>
    </row>
    <row r="56" spans="3:4">
      <c r="C56" t="s">
        <v>298</v>
      </c>
      <c r="D56" t="s">
        <v>298</v>
      </c>
    </row>
    <row r="57" spans="3:4">
      <c r="C57" t="s">
        <v>298</v>
      </c>
      <c r="D57" t="s">
        <v>298</v>
      </c>
    </row>
    <row r="58" spans="3:4">
      <c r="C58" t="s">
        <v>298</v>
      </c>
      <c r="D58" t="s">
        <v>298</v>
      </c>
    </row>
    <row r="59" spans="3:4">
      <c r="C59" t="s">
        <v>298</v>
      </c>
      <c r="D59" t="s">
        <v>298</v>
      </c>
    </row>
    <row r="60" spans="3:4">
      <c r="C60" t="s">
        <v>298</v>
      </c>
      <c r="D60" t="s">
        <v>298</v>
      </c>
    </row>
    <row r="61" spans="3:4">
      <c r="C61" t="s">
        <v>298</v>
      </c>
      <c r="D61" t="s">
        <v>298</v>
      </c>
    </row>
    <row r="62" spans="3:4">
      <c r="C62" t="s">
        <v>298</v>
      </c>
      <c r="D62" t="s">
        <v>298</v>
      </c>
    </row>
    <row r="63" spans="3:4">
      <c r="C63" t="s">
        <v>298</v>
      </c>
      <c r="D63" t="s">
        <v>298</v>
      </c>
    </row>
    <row r="64" spans="3:4">
      <c r="C64" t="s">
        <v>298</v>
      </c>
      <c r="D64" t="s">
        <v>298</v>
      </c>
    </row>
    <row r="65" spans="3:4">
      <c r="C65" t="s">
        <v>298</v>
      </c>
      <c r="D65" t="s">
        <v>298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261"/>
  <sheetViews>
    <sheetView topLeftCell="A4" workbookViewId="0">
      <selection activeCell="G41" sqref="G41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10.42578125" customWidth="1"/>
    <col min="8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7">
      <c r="A1" s="1"/>
      <c r="B1" s="2"/>
      <c r="C1" s="2"/>
      <c r="D1" s="2"/>
    </row>
    <row r="2" spans="1:7">
      <c r="A2" s="109" t="s">
        <v>441</v>
      </c>
      <c r="B2" s="109"/>
      <c r="C2" s="109"/>
      <c r="D2" s="109"/>
    </row>
    <row r="3" spans="1:7" ht="44.25" customHeight="1">
      <c r="A3" s="110" t="s">
        <v>442</v>
      </c>
      <c r="B3" s="110"/>
      <c r="C3" s="110"/>
      <c r="D3" s="110"/>
    </row>
    <row r="4" spans="1:7" ht="15.75" thickBot="1">
      <c r="A4" s="1"/>
      <c r="B4" s="2"/>
      <c r="C4" s="2"/>
      <c r="D4" s="2"/>
    </row>
    <row r="5" spans="1:7" ht="23.25" customHeight="1">
      <c r="A5" s="115" t="s">
        <v>83</v>
      </c>
      <c r="B5" s="117" t="s">
        <v>84</v>
      </c>
      <c r="C5" s="119" t="s">
        <v>242</v>
      </c>
      <c r="D5" s="120"/>
    </row>
    <row r="6" spans="1:7">
      <c r="A6" s="116"/>
      <c r="B6" s="118"/>
      <c r="C6" s="46" t="s">
        <v>85</v>
      </c>
      <c r="D6" s="4" t="s">
        <v>86</v>
      </c>
    </row>
    <row r="7" spans="1:7">
      <c r="A7" s="5" t="s">
        <v>87</v>
      </c>
      <c r="B7" s="6"/>
      <c r="C7" s="6"/>
      <c r="D7" s="7"/>
    </row>
    <row r="8" spans="1:7">
      <c r="A8" s="8" t="s">
        <v>88</v>
      </c>
      <c r="B8" s="9" t="s">
        <v>89</v>
      </c>
      <c r="C8" s="10">
        <f>C9+C11+C14+C15</f>
        <v>1288697.54</v>
      </c>
      <c r="D8" s="11">
        <f>D9+D11+D14+D15</f>
        <v>1221023.3699999999</v>
      </c>
    </row>
    <row r="9" spans="1:7" ht="30">
      <c r="A9" s="12" t="s">
        <v>90</v>
      </c>
      <c r="B9" s="13" t="s">
        <v>91</v>
      </c>
      <c r="C9" s="14">
        <f>1131676.83</f>
        <v>1131676.83</v>
      </c>
      <c r="D9" s="15">
        <f>1119252.47</f>
        <v>1119252.47</v>
      </c>
    </row>
    <row r="10" spans="1:7">
      <c r="A10" s="16" t="s">
        <v>92</v>
      </c>
      <c r="B10" s="17" t="s">
        <v>93</v>
      </c>
      <c r="C10" s="18">
        <f>707949.423963133</f>
        <v>707949.42396313301</v>
      </c>
      <c r="D10" s="19">
        <f>_29h_E12</f>
        <v>707949.42396313301</v>
      </c>
      <c r="G10" s="87">
        <f>_28h_F11+_29h_F11</f>
        <v>4540963.66</v>
      </c>
    </row>
    <row r="11" spans="1:7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7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7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7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7" ht="28.5">
      <c r="A15" s="8" t="s">
        <v>101</v>
      </c>
      <c r="B15" s="20" t="s">
        <v>102</v>
      </c>
      <c r="C15" s="14">
        <f>SUM(C16:C24)</f>
        <v>157020.71000000002</v>
      </c>
      <c r="D15" s="15">
        <f>SUM(D16:D24)</f>
        <v>101770.9</v>
      </c>
    </row>
    <row r="16" spans="1:7">
      <c r="A16" s="22" t="s">
        <v>103</v>
      </c>
      <c r="B16" s="17" t="s">
        <v>104</v>
      </c>
      <c r="C16" s="111">
        <v>103827.36</v>
      </c>
      <c r="D16" s="113">
        <v>41569.47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27636.12</f>
        <v>27636.12</v>
      </c>
      <c r="D18" s="19">
        <f>34643.96</f>
        <v>34643.96</v>
      </c>
    </row>
    <row r="19" spans="1:4">
      <c r="A19" s="22" t="s">
        <v>109</v>
      </c>
      <c r="B19" s="17" t="s">
        <v>110</v>
      </c>
      <c r="C19" s="18">
        <f>3037.36</f>
        <v>3037.36</v>
      </c>
      <c r="D19" s="19">
        <f>3039.38</f>
        <v>3039.38</v>
      </c>
    </row>
    <row r="20" spans="1:4">
      <c r="A20" s="22" t="s">
        <v>111</v>
      </c>
      <c r="B20" s="17" t="s">
        <v>112</v>
      </c>
      <c r="C20" s="18">
        <f>4008.98</f>
        <v>4008.98</v>
      </c>
      <c r="D20" s="19">
        <f>4007.2</f>
        <v>4007.2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18510.89</f>
        <v>18510.89</v>
      </c>
      <c r="D22" s="19">
        <f>18510.89</f>
        <v>18510.89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419669.84000000299</v>
      </c>
      <c r="D25" s="15">
        <f>D26+D27+D30+D28+D29+D31</f>
        <v>305562.36</v>
      </c>
    </row>
    <row r="26" spans="1:4" ht="21.75" customHeight="1">
      <c r="A26" s="24" t="s">
        <v>123</v>
      </c>
      <c r="B26" s="20" t="s">
        <v>124</v>
      </c>
      <c r="C26" s="18">
        <f>134236.68</f>
        <v>134236.68</v>
      </c>
      <c r="D26" s="19">
        <f>134236.67</f>
        <v>134236.67000000001</v>
      </c>
    </row>
    <row r="27" spans="1:4" ht="45">
      <c r="A27" s="24" t="s">
        <v>125</v>
      </c>
      <c r="B27" s="20" t="s">
        <v>126</v>
      </c>
      <c r="C27" s="18">
        <f>20264.04</f>
        <v>20264.04</v>
      </c>
      <c r="D27" s="19">
        <f>20241.28</f>
        <v>20241.28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20347.08</f>
        <v>20347.080000000002</v>
      </c>
      <c r="D29" s="19">
        <f>20169.17</f>
        <v>20169.169999999998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244822.04000000301</v>
      </c>
      <c r="D31" s="15">
        <f>SUM(D32:D39)</f>
        <v>130915.24000000002</v>
      </c>
    </row>
    <row r="32" spans="1:4" ht="21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27500.64</f>
        <v>27500.639999999999</v>
      </c>
      <c r="D33" s="19">
        <f>24389.08</f>
        <v>24389.08</v>
      </c>
    </row>
    <row r="34" spans="1:4">
      <c r="A34" s="24" t="s">
        <v>139</v>
      </c>
      <c r="B34" s="17" t="s">
        <v>140</v>
      </c>
      <c r="C34" s="18">
        <f>11177.64</f>
        <v>11177.64</v>
      </c>
      <c r="D34" s="19">
        <f>11294.88</f>
        <v>11294.88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f>175512.350000003</f>
        <v>175512.350000003</v>
      </c>
      <c r="D39" s="19">
        <f>64599.87</f>
        <v>64599.87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31000.34</v>
      </c>
      <c r="D45" s="27">
        <f>SUM(D46:D48)</f>
        <v>174080.31</v>
      </c>
    </row>
    <row r="46" spans="1:4">
      <c r="A46" s="21" t="s">
        <v>163</v>
      </c>
      <c r="B46" s="17" t="s">
        <v>164</v>
      </c>
      <c r="C46" s="18">
        <f>11791.08</f>
        <v>11791.08</v>
      </c>
      <c r="D46" s="19">
        <f>13062.9</f>
        <v>13062.9</v>
      </c>
    </row>
    <row r="47" spans="1:4">
      <c r="A47" s="21" t="s">
        <v>149</v>
      </c>
      <c r="B47" s="17" t="s">
        <v>165</v>
      </c>
      <c r="C47" s="18">
        <f>18769.1</f>
        <v>18769.099999999999</v>
      </c>
      <c r="D47" s="19">
        <f>160577.25</f>
        <v>160577.25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137542.08</f>
        <v>137542.07999999999</v>
      </c>
      <c r="D49" s="30">
        <f>176243.76</f>
        <v>176243.76</v>
      </c>
    </row>
    <row r="50" spans="1:4">
      <c r="A50" s="8" t="s">
        <v>169</v>
      </c>
      <c r="B50" s="9" t="s">
        <v>170</v>
      </c>
      <c r="C50" s="14">
        <f>C8+C25+C40+C41+C42+C43+C44+C45+C49+C51+C52</f>
        <v>1876909.8000000033</v>
      </c>
      <c r="D50" s="15">
        <f>D8+D25+D40+D41+D42+D43+D44+D45+D49+D51+D52</f>
        <v>1876909.8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1034167.26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1015917.06</f>
        <v>1015917.06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18250.2</f>
        <v>18250.2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552420</f>
        <v>552420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1586587.26</v>
      </c>
      <c r="D59" s="27">
        <f>D54+D57+D58</f>
        <v>0</v>
      </c>
    </row>
    <row r="60" spans="1:4" ht="25.5">
      <c r="A60" s="33" t="s">
        <v>188</v>
      </c>
      <c r="B60" s="9"/>
      <c r="C60" s="34">
        <v>6967</v>
      </c>
      <c r="D60" s="35">
        <v>6967</v>
      </c>
    </row>
    <row r="61" spans="1:4" ht="15.75" thickBot="1">
      <c r="A61" s="36" t="s">
        <v>189</v>
      </c>
      <c r="B61" s="37"/>
      <c r="C61" s="38">
        <f>(C50+C51+C52)/C60/12</f>
        <v>22.450000000000042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.70866141732283472" right="0.70866141732283472" top="0.74803149606299213" bottom="0" header="0.31496062992125984" footer="0.31496062992125984"/>
  <pageSetup paperSize="9" scale="70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296</v>
      </c>
      <c r="D7" t="s">
        <v>296</v>
      </c>
    </row>
    <row r="8" spans="3:4">
      <c r="C8" t="s">
        <v>296</v>
      </c>
      <c r="D8" t="s">
        <v>296</v>
      </c>
    </row>
    <row r="9" spans="3:4">
      <c r="C9" t="s">
        <v>296</v>
      </c>
      <c r="D9" t="s">
        <v>296</v>
      </c>
    </row>
    <row r="10" spans="3:4">
      <c r="C10" t="s">
        <v>296</v>
      </c>
      <c r="D10" t="s">
        <v>296</v>
      </c>
    </row>
    <row r="11" spans="3:4">
      <c r="C11" t="s">
        <v>296</v>
      </c>
      <c r="D11" t="s">
        <v>296</v>
      </c>
    </row>
    <row r="12" spans="3:4">
      <c r="C12" t="s">
        <v>296</v>
      </c>
      <c r="D12" t="s">
        <v>296</v>
      </c>
    </row>
    <row r="13" spans="3:4">
      <c r="C13" t="s">
        <v>296</v>
      </c>
      <c r="D13" t="s">
        <v>296</v>
      </c>
    </row>
    <row r="14" spans="3:4">
      <c r="C14" t="s">
        <v>296</v>
      </c>
      <c r="D14" t="s">
        <v>296</v>
      </c>
    </row>
    <row r="15" spans="3:4">
      <c r="C15" t="s">
        <v>296</v>
      </c>
      <c r="D15" t="s">
        <v>296</v>
      </c>
    </row>
    <row r="16" spans="3:4">
      <c r="C16" t="s">
        <v>296</v>
      </c>
      <c r="D16" t="s">
        <v>296</v>
      </c>
    </row>
    <row r="17" spans="3:4">
      <c r="C17" t="s">
        <v>296</v>
      </c>
      <c r="D17" t="s">
        <v>296</v>
      </c>
    </row>
    <row r="18" spans="3:4">
      <c r="C18" t="s">
        <v>296</v>
      </c>
      <c r="D18" t="s">
        <v>296</v>
      </c>
    </row>
    <row r="19" spans="3:4">
      <c r="C19" t="s">
        <v>296</v>
      </c>
      <c r="D19" t="s">
        <v>296</v>
      </c>
    </row>
    <row r="20" spans="3:4">
      <c r="C20" t="s">
        <v>296</v>
      </c>
      <c r="D20" t="s">
        <v>296</v>
      </c>
    </row>
    <row r="21" spans="3:4">
      <c r="C21" t="s">
        <v>296</v>
      </c>
      <c r="D21" t="s">
        <v>296</v>
      </c>
    </row>
    <row r="22" spans="3:4">
      <c r="C22" t="s">
        <v>296</v>
      </c>
      <c r="D22" t="s">
        <v>296</v>
      </c>
    </row>
    <row r="23" spans="3:4">
      <c r="C23" t="s">
        <v>296</v>
      </c>
      <c r="D23" t="s">
        <v>296</v>
      </c>
    </row>
    <row r="24" spans="3:4">
      <c r="C24" t="s">
        <v>296</v>
      </c>
      <c r="D24" t="s">
        <v>296</v>
      </c>
    </row>
    <row r="25" spans="3:4">
      <c r="C25" t="s">
        <v>296</v>
      </c>
      <c r="D25" t="s">
        <v>296</v>
      </c>
    </row>
    <row r="26" spans="3:4">
      <c r="C26" t="s">
        <v>296</v>
      </c>
      <c r="D26" t="s">
        <v>296</v>
      </c>
    </row>
    <row r="27" spans="3:4">
      <c r="C27" t="s">
        <v>296</v>
      </c>
      <c r="D27" t="s">
        <v>296</v>
      </c>
    </row>
    <row r="28" spans="3:4">
      <c r="C28" t="s">
        <v>296</v>
      </c>
      <c r="D28" t="s">
        <v>296</v>
      </c>
    </row>
    <row r="29" spans="3:4">
      <c r="C29" t="s">
        <v>296</v>
      </c>
      <c r="D29" t="s">
        <v>296</v>
      </c>
    </row>
    <row r="30" spans="3:4">
      <c r="C30" t="s">
        <v>296</v>
      </c>
      <c r="D30" t="s">
        <v>296</v>
      </c>
    </row>
    <row r="31" spans="3:4">
      <c r="C31" t="s">
        <v>296</v>
      </c>
      <c r="D31" t="s">
        <v>296</v>
      </c>
    </row>
    <row r="32" spans="3:4">
      <c r="C32" t="s">
        <v>296</v>
      </c>
      <c r="D32" t="s">
        <v>296</v>
      </c>
    </row>
    <row r="33" spans="3:4">
      <c r="C33" t="s">
        <v>296</v>
      </c>
      <c r="D33" t="s">
        <v>296</v>
      </c>
    </row>
    <row r="34" spans="3:4">
      <c r="C34" t="s">
        <v>296</v>
      </c>
      <c r="D34" t="s">
        <v>296</v>
      </c>
    </row>
    <row r="35" spans="3:4">
      <c r="C35" t="s">
        <v>296</v>
      </c>
      <c r="D35" t="s">
        <v>296</v>
      </c>
    </row>
    <row r="36" spans="3:4">
      <c r="C36" t="s">
        <v>296</v>
      </c>
      <c r="D36" t="s">
        <v>296</v>
      </c>
    </row>
    <row r="37" spans="3:4">
      <c r="C37" t="s">
        <v>296</v>
      </c>
      <c r="D37" t="s">
        <v>296</v>
      </c>
    </row>
    <row r="38" spans="3:4">
      <c r="C38" t="s">
        <v>296</v>
      </c>
      <c r="D38" t="s">
        <v>296</v>
      </c>
    </row>
    <row r="39" spans="3:4">
      <c r="C39" t="s">
        <v>296</v>
      </c>
      <c r="D39" t="s">
        <v>296</v>
      </c>
    </row>
    <row r="40" spans="3:4">
      <c r="C40" t="s">
        <v>296</v>
      </c>
      <c r="D40" t="s">
        <v>296</v>
      </c>
    </row>
    <row r="41" spans="3:4">
      <c r="C41" t="s">
        <v>296</v>
      </c>
      <c r="D41" t="s">
        <v>296</v>
      </c>
    </row>
    <row r="42" spans="3:4">
      <c r="C42" t="s">
        <v>296</v>
      </c>
      <c r="D42" t="s">
        <v>296</v>
      </c>
    </row>
    <row r="43" spans="3:4">
      <c r="C43" t="s">
        <v>296</v>
      </c>
      <c r="D43" t="s">
        <v>296</v>
      </c>
    </row>
    <row r="44" spans="3:4">
      <c r="C44" t="s">
        <v>296</v>
      </c>
      <c r="D44" t="s">
        <v>296</v>
      </c>
    </row>
    <row r="45" spans="3:4">
      <c r="C45" t="s">
        <v>296</v>
      </c>
      <c r="D45" t="s">
        <v>296</v>
      </c>
    </row>
    <row r="46" spans="3:4">
      <c r="C46" t="s">
        <v>296</v>
      </c>
      <c r="D46" t="s">
        <v>296</v>
      </c>
    </row>
    <row r="47" spans="3:4">
      <c r="C47" t="s">
        <v>296</v>
      </c>
      <c r="D47" t="s">
        <v>296</v>
      </c>
    </row>
    <row r="48" spans="3:4">
      <c r="C48" t="s">
        <v>296</v>
      </c>
      <c r="D48" t="s">
        <v>296</v>
      </c>
    </row>
    <row r="49" spans="3:4">
      <c r="C49" t="s">
        <v>296</v>
      </c>
      <c r="D49" t="s">
        <v>296</v>
      </c>
    </row>
    <row r="50" spans="3:4">
      <c r="C50" t="s">
        <v>296</v>
      </c>
      <c r="D50" t="s">
        <v>296</v>
      </c>
    </row>
    <row r="51" spans="3:4">
      <c r="C51" t="s">
        <v>296</v>
      </c>
      <c r="D51" t="s">
        <v>296</v>
      </c>
    </row>
    <row r="52" spans="3:4">
      <c r="C52" t="s">
        <v>296</v>
      </c>
      <c r="D52" t="s">
        <v>296</v>
      </c>
    </row>
    <row r="53" spans="3:4">
      <c r="C53" t="s">
        <v>296</v>
      </c>
      <c r="D53" t="s">
        <v>296</v>
      </c>
    </row>
    <row r="54" spans="3:4">
      <c r="C54" t="s">
        <v>296</v>
      </c>
      <c r="D54" t="s">
        <v>296</v>
      </c>
    </row>
    <row r="55" spans="3:4">
      <c r="C55" t="s">
        <v>296</v>
      </c>
      <c r="D55" t="s">
        <v>296</v>
      </c>
    </row>
    <row r="56" spans="3:4">
      <c r="C56" t="s">
        <v>296</v>
      </c>
      <c r="D56" t="s">
        <v>296</v>
      </c>
    </row>
    <row r="57" spans="3:4">
      <c r="C57" t="s">
        <v>296</v>
      </c>
      <c r="D57" t="s">
        <v>296</v>
      </c>
    </row>
    <row r="58" spans="3:4">
      <c r="C58" t="s">
        <v>296</v>
      </c>
      <c r="D58" t="s">
        <v>296</v>
      </c>
    </row>
    <row r="59" spans="3:4">
      <c r="C59" t="s">
        <v>296</v>
      </c>
      <c r="D59" t="s">
        <v>296</v>
      </c>
    </row>
    <row r="60" spans="3:4">
      <c r="C60" t="s">
        <v>296</v>
      </c>
      <c r="D60" t="s">
        <v>296</v>
      </c>
    </row>
    <row r="61" spans="3:4">
      <c r="C61" t="s">
        <v>296</v>
      </c>
      <c r="D61" t="s">
        <v>296</v>
      </c>
    </row>
    <row r="62" spans="3:4">
      <c r="C62" t="s">
        <v>296</v>
      </c>
      <c r="D62" t="s">
        <v>296</v>
      </c>
    </row>
    <row r="63" spans="3:4">
      <c r="C63" t="s">
        <v>296</v>
      </c>
      <c r="D63" t="s">
        <v>296</v>
      </c>
    </row>
    <row r="64" spans="3:4">
      <c r="C64" t="s">
        <v>296</v>
      </c>
      <c r="D64" t="s">
        <v>296</v>
      </c>
    </row>
    <row r="65" spans="3:4">
      <c r="C65" t="s">
        <v>296</v>
      </c>
      <c r="D65" t="s">
        <v>296</v>
      </c>
    </row>
  </sheetData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294</v>
      </c>
      <c r="D7" t="s">
        <v>294</v>
      </c>
    </row>
    <row r="8" spans="3:4">
      <c r="C8" t="s">
        <v>294</v>
      </c>
      <c r="D8" t="s">
        <v>294</v>
      </c>
    </row>
    <row r="9" spans="3:4">
      <c r="C9" t="s">
        <v>294</v>
      </c>
      <c r="D9" t="s">
        <v>294</v>
      </c>
    </row>
    <row r="10" spans="3:4">
      <c r="C10" t="s">
        <v>294</v>
      </c>
      <c r="D10" t="s">
        <v>294</v>
      </c>
    </row>
    <row r="11" spans="3:4">
      <c r="C11" t="s">
        <v>294</v>
      </c>
      <c r="D11" t="s">
        <v>294</v>
      </c>
    </row>
    <row r="12" spans="3:4">
      <c r="C12" t="s">
        <v>294</v>
      </c>
      <c r="D12" t="s">
        <v>294</v>
      </c>
    </row>
    <row r="13" spans="3:4">
      <c r="C13" t="s">
        <v>294</v>
      </c>
      <c r="D13" t="s">
        <v>294</v>
      </c>
    </row>
    <row r="14" spans="3:4">
      <c r="C14" t="s">
        <v>294</v>
      </c>
      <c r="D14" t="s">
        <v>294</v>
      </c>
    </row>
    <row r="15" spans="3:4">
      <c r="C15" t="s">
        <v>294</v>
      </c>
      <c r="D15" t="s">
        <v>294</v>
      </c>
    </row>
    <row r="16" spans="3:4">
      <c r="C16" t="s">
        <v>294</v>
      </c>
      <c r="D16" t="s">
        <v>294</v>
      </c>
    </row>
    <row r="17" spans="3:4">
      <c r="C17" t="s">
        <v>294</v>
      </c>
      <c r="D17" t="s">
        <v>294</v>
      </c>
    </row>
    <row r="18" spans="3:4">
      <c r="C18" t="s">
        <v>294</v>
      </c>
      <c r="D18" t="s">
        <v>294</v>
      </c>
    </row>
    <row r="19" spans="3:4">
      <c r="C19" t="s">
        <v>294</v>
      </c>
      <c r="D19" t="s">
        <v>294</v>
      </c>
    </row>
    <row r="20" spans="3:4">
      <c r="C20" t="s">
        <v>294</v>
      </c>
      <c r="D20" t="s">
        <v>294</v>
      </c>
    </row>
    <row r="21" spans="3:4">
      <c r="C21" t="s">
        <v>294</v>
      </c>
      <c r="D21" t="s">
        <v>294</v>
      </c>
    </row>
    <row r="22" spans="3:4">
      <c r="C22" t="s">
        <v>294</v>
      </c>
      <c r="D22" t="s">
        <v>294</v>
      </c>
    </row>
    <row r="23" spans="3:4">
      <c r="C23" t="s">
        <v>294</v>
      </c>
      <c r="D23" t="s">
        <v>294</v>
      </c>
    </row>
    <row r="24" spans="3:4">
      <c r="C24" t="s">
        <v>294</v>
      </c>
      <c r="D24" t="s">
        <v>294</v>
      </c>
    </row>
    <row r="25" spans="3:4">
      <c r="C25" t="s">
        <v>294</v>
      </c>
      <c r="D25" t="s">
        <v>294</v>
      </c>
    </row>
    <row r="26" spans="3:4">
      <c r="C26" t="s">
        <v>294</v>
      </c>
      <c r="D26" t="s">
        <v>294</v>
      </c>
    </row>
    <row r="27" spans="3:4">
      <c r="C27" t="s">
        <v>294</v>
      </c>
      <c r="D27" t="s">
        <v>294</v>
      </c>
    </row>
    <row r="28" spans="3:4">
      <c r="C28" t="s">
        <v>294</v>
      </c>
      <c r="D28" t="s">
        <v>294</v>
      </c>
    </row>
    <row r="29" spans="3:4">
      <c r="C29" t="s">
        <v>294</v>
      </c>
      <c r="D29" t="s">
        <v>294</v>
      </c>
    </row>
    <row r="30" spans="3:4">
      <c r="C30" t="s">
        <v>294</v>
      </c>
      <c r="D30" t="s">
        <v>294</v>
      </c>
    </row>
    <row r="31" spans="3:4">
      <c r="C31" t="s">
        <v>294</v>
      </c>
      <c r="D31" t="s">
        <v>294</v>
      </c>
    </row>
    <row r="32" spans="3:4">
      <c r="C32" t="s">
        <v>294</v>
      </c>
      <c r="D32" t="s">
        <v>294</v>
      </c>
    </row>
    <row r="33" spans="3:4">
      <c r="C33" t="s">
        <v>294</v>
      </c>
      <c r="D33" t="s">
        <v>294</v>
      </c>
    </row>
    <row r="34" spans="3:4">
      <c r="C34" t="s">
        <v>294</v>
      </c>
      <c r="D34" t="s">
        <v>294</v>
      </c>
    </row>
    <row r="35" spans="3:4">
      <c r="C35" t="s">
        <v>294</v>
      </c>
      <c r="D35" t="s">
        <v>294</v>
      </c>
    </row>
    <row r="36" spans="3:4">
      <c r="C36" t="s">
        <v>294</v>
      </c>
      <c r="D36" t="s">
        <v>294</v>
      </c>
    </row>
    <row r="37" spans="3:4">
      <c r="C37" t="s">
        <v>294</v>
      </c>
      <c r="D37" t="s">
        <v>294</v>
      </c>
    </row>
    <row r="38" spans="3:4">
      <c r="C38" t="s">
        <v>294</v>
      </c>
      <c r="D38" t="s">
        <v>294</v>
      </c>
    </row>
    <row r="39" spans="3:4">
      <c r="C39" t="s">
        <v>294</v>
      </c>
      <c r="D39" t="s">
        <v>294</v>
      </c>
    </row>
    <row r="40" spans="3:4">
      <c r="C40" t="s">
        <v>294</v>
      </c>
      <c r="D40" t="s">
        <v>294</v>
      </c>
    </row>
    <row r="41" spans="3:4">
      <c r="C41" t="s">
        <v>294</v>
      </c>
      <c r="D41" t="s">
        <v>294</v>
      </c>
    </row>
    <row r="42" spans="3:4">
      <c r="C42" t="s">
        <v>294</v>
      </c>
      <c r="D42" t="s">
        <v>294</v>
      </c>
    </row>
    <row r="43" spans="3:4">
      <c r="C43" t="s">
        <v>294</v>
      </c>
      <c r="D43" t="s">
        <v>294</v>
      </c>
    </row>
    <row r="44" spans="3:4">
      <c r="C44" t="s">
        <v>294</v>
      </c>
      <c r="D44" t="s">
        <v>294</v>
      </c>
    </row>
    <row r="45" spans="3:4">
      <c r="C45" t="s">
        <v>294</v>
      </c>
      <c r="D45" t="s">
        <v>294</v>
      </c>
    </row>
    <row r="46" spans="3:4">
      <c r="C46" t="s">
        <v>294</v>
      </c>
      <c r="D46" t="s">
        <v>294</v>
      </c>
    </row>
    <row r="47" spans="3:4">
      <c r="C47" t="s">
        <v>294</v>
      </c>
      <c r="D47" t="s">
        <v>294</v>
      </c>
    </row>
    <row r="48" spans="3:4">
      <c r="C48" t="s">
        <v>294</v>
      </c>
      <c r="D48" t="s">
        <v>294</v>
      </c>
    </row>
    <row r="49" spans="3:4">
      <c r="C49" t="s">
        <v>294</v>
      </c>
      <c r="D49" t="s">
        <v>294</v>
      </c>
    </row>
    <row r="50" spans="3:4">
      <c r="C50" t="s">
        <v>294</v>
      </c>
      <c r="D50" t="s">
        <v>294</v>
      </c>
    </row>
    <row r="51" spans="3:4">
      <c r="C51" t="s">
        <v>294</v>
      </c>
      <c r="D51" t="s">
        <v>294</v>
      </c>
    </row>
    <row r="52" spans="3:4">
      <c r="C52" t="s">
        <v>294</v>
      </c>
      <c r="D52" t="s">
        <v>294</v>
      </c>
    </row>
    <row r="53" spans="3:4">
      <c r="C53" t="s">
        <v>294</v>
      </c>
      <c r="D53" t="s">
        <v>294</v>
      </c>
    </row>
    <row r="54" spans="3:4">
      <c r="C54" t="s">
        <v>294</v>
      </c>
      <c r="D54" t="s">
        <v>294</v>
      </c>
    </row>
    <row r="55" spans="3:4">
      <c r="C55" t="s">
        <v>294</v>
      </c>
      <c r="D55" t="s">
        <v>294</v>
      </c>
    </row>
    <row r="56" spans="3:4">
      <c r="C56" t="s">
        <v>294</v>
      </c>
      <c r="D56" t="s">
        <v>294</v>
      </c>
    </row>
    <row r="57" spans="3:4">
      <c r="C57" t="s">
        <v>294</v>
      </c>
      <c r="D57" t="s">
        <v>294</v>
      </c>
    </row>
    <row r="58" spans="3:4">
      <c r="C58" t="s">
        <v>294</v>
      </c>
      <c r="D58" t="s">
        <v>294</v>
      </c>
    </row>
    <row r="59" spans="3:4">
      <c r="C59" t="s">
        <v>294</v>
      </c>
      <c r="D59" t="s">
        <v>294</v>
      </c>
    </row>
    <row r="60" spans="3:4">
      <c r="C60" t="s">
        <v>294</v>
      </c>
      <c r="D60" t="s">
        <v>294</v>
      </c>
    </row>
    <row r="61" spans="3:4">
      <c r="C61" t="s">
        <v>294</v>
      </c>
      <c r="D61" t="s">
        <v>294</v>
      </c>
    </row>
    <row r="62" spans="3:4">
      <c r="C62" t="s">
        <v>294</v>
      </c>
      <c r="D62" t="s">
        <v>294</v>
      </c>
    </row>
    <row r="63" spans="3:4">
      <c r="C63" t="s">
        <v>294</v>
      </c>
      <c r="D63" t="s">
        <v>294</v>
      </c>
    </row>
    <row r="64" spans="3:4">
      <c r="C64" t="s">
        <v>294</v>
      </c>
      <c r="D64" t="s">
        <v>294</v>
      </c>
    </row>
    <row r="65" spans="3:4">
      <c r="C65" t="s">
        <v>294</v>
      </c>
      <c r="D65" t="s">
        <v>294</v>
      </c>
    </row>
  </sheetData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292</v>
      </c>
      <c r="D7" t="s">
        <v>292</v>
      </c>
    </row>
    <row r="8" spans="3:4">
      <c r="C8" t="s">
        <v>292</v>
      </c>
      <c r="D8" t="s">
        <v>292</v>
      </c>
    </row>
    <row r="9" spans="3:4">
      <c r="C9" t="s">
        <v>292</v>
      </c>
      <c r="D9" t="s">
        <v>292</v>
      </c>
    </row>
    <row r="10" spans="3:4">
      <c r="C10" t="s">
        <v>292</v>
      </c>
      <c r="D10" t="s">
        <v>292</v>
      </c>
    </row>
    <row r="11" spans="3:4">
      <c r="C11" t="s">
        <v>292</v>
      </c>
      <c r="D11" t="s">
        <v>292</v>
      </c>
    </row>
    <row r="12" spans="3:4">
      <c r="C12" t="s">
        <v>292</v>
      </c>
      <c r="D12" t="s">
        <v>292</v>
      </c>
    </row>
    <row r="13" spans="3:4">
      <c r="C13" t="s">
        <v>292</v>
      </c>
      <c r="D13" t="s">
        <v>292</v>
      </c>
    </row>
    <row r="14" spans="3:4">
      <c r="C14" t="s">
        <v>292</v>
      </c>
      <c r="D14" t="s">
        <v>292</v>
      </c>
    </row>
    <row r="15" spans="3:4">
      <c r="C15" t="s">
        <v>292</v>
      </c>
      <c r="D15" t="s">
        <v>292</v>
      </c>
    </row>
    <row r="16" spans="3:4">
      <c r="C16" t="s">
        <v>292</v>
      </c>
      <c r="D16" t="s">
        <v>292</v>
      </c>
    </row>
    <row r="17" spans="3:4">
      <c r="C17" t="s">
        <v>292</v>
      </c>
      <c r="D17" t="s">
        <v>292</v>
      </c>
    </row>
    <row r="18" spans="3:4">
      <c r="C18" t="s">
        <v>292</v>
      </c>
      <c r="D18" t="s">
        <v>292</v>
      </c>
    </row>
    <row r="19" spans="3:4">
      <c r="C19" t="s">
        <v>292</v>
      </c>
      <c r="D19" t="s">
        <v>292</v>
      </c>
    </row>
    <row r="20" spans="3:4">
      <c r="C20" t="s">
        <v>292</v>
      </c>
      <c r="D20" t="s">
        <v>292</v>
      </c>
    </row>
    <row r="21" spans="3:4">
      <c r="C21" t="s">
        <v>292</v>
      </c>
      <c r="D21" t="s">
        <v>292</v>
      </c>
    </row>
    <row r="22" spans="3:4">
      <c r="C22" t="s">
        <v>292</v>
      </c>
      <c r="D22" t="s">
        <v>292</v>
      </c>
    </row>
    <row r="23" spans="3:4">
      <c r="C23" t="s">
        <v>292</v>
      </c>
      <c r="D23" t="s">
        <v>292</v>
      </c>
    </row>
    <row r="24" spans="3:4">
      <c r="C24" t="s">
        <v>292</v>
      </c>
      <c r="D24" t="s">
        <v>292</v>
      </c>
    </row>
    <row r="25" spans="3:4">
      <c r="C25" t="s">
        <v>292</v>
      </c>
      <c r="D25" t="s">
        <v>292</v>
      </c>
    </row>
    <row r="26" spans="3:4">
      <c r="C26" t="s">
        <v>292</v>
      </c>
      <c r="D26" t="s">
        <v>292</v>
      </c>
    </row>
    <row r="27" spans="3:4">
      <c r="C27" t="s">
        <v>292</v>
      </c>
      <c r="D27" t="s">
        <v>292</v>
      </c>
    </row>
    <row r="28" spans="3:4">
      <c r="C28" t="s">
        <v>292</v>
      </c>
      <c r="D28" t="s">
        <v>292</v>
      </c>
    </row>
    <row r="29" spans="3:4">
      <c r="C29" t="s">
        <v>292</v>
      </c>
      <c r="D29" t="s">
        <v>292</v>
      </c>
    </row>
    <row r="30" spans="3:4">
      <c r="C30" t="s">
        <v>292</v>
      </c>
      <c r="D30" t="s">
        <v>292</v>
      </c>
    </row>
    <row r="31" spans="3:4">
      <c r="C31" t="s">
        <v>292</v>
      </c>
      <c r="D31" t="s">
        <v>292</v>
      </c>
    </row>
    <row r="32" spans="3:4">
      <c r="C32" t="s">
        <v>292</v>
      </c>
      <c r="D32" t="s">
        <v>292</v>
      </c>
    </row>
    <row r="33" spans="3:4">
      <c r="C33" t="s">
        <v>292</v>
      </c>
      <c r="D33" t="s">
        <v>292</v>
      </c>
    </row>
    <row r="34" spans="3:4">
      <c r="C34" t="s">
        <v>292</v>
      </c>
      <c r="D34" t="s">
        <v>292</v>
      </c>
    </row>
    <row r="35" spans="3:4">
      <c r="C35" t="s">
        <v>292</v>
      </c>
      <c r="D35" t="s">
        <v>292</v>
      </c>
    </row>
    <row r="36" spans="3:4">
      <c r="C36" t="s">
        <v>292</v>
      </c>
      <c r="D36" t="s">
        <v>292</v>
      </c>
    </row>
    <row r="37" spans="3:4">
      <c r="C37" t="s">
        <v>292</v>
      </c>
      <c r="D37" t="s">
        <v>292</v>
      </c>
    </row>
    <row r="38" spans="3:4">
      <c r="C38" t="s">
        <v>292</v>
      </c>
      <c r="D38" t="s">
        <v>292</v>
      </c>
    </row>
    <row r="39" spans="3:4">
      <c r="C39" t="s">
        <v>292</v>
      </c>
      <c r="D39" t="s">
        <v>292</v>
      </c>
    </row>
    <row r="40" spans="3:4">
      <c r="C40" t="s">
        <v>292</v>
      </c>
      <c r="D40" t="s">
        <v>292</v>
      </c>
    </row>
    <row r="41" spans="3:4">
      <c r="C41" t="s">
        <v>292</v>
      </c>
      <c r="D41" t="s">
        <v>292</v>
      </c>
    </row>
    <row r="42" spans="3:4">
      <c r="C42" t="s">
        <v>292</v>
      </c>
      <c r="D42" t="s">
        <v>292</v>
      </c>
    </row>
    <row r="43" spans="3:4">
      <c r="C43" t="s">
        <v>292</v>
      </c>
      <c r="D43" t="s">
        <v>292</v>
      </c>
    </row>
    <row r="44" spans="3:4">
      <c r="C44" t="s">
        <v>292</v>
      </c>
      <c r="D44" t="s">
        <v>292</v>
      </c>
    </row>
    <row r="45" spans="3:4">
      <c r="C45" t="s">
        <v>292</v>
      </c>
      <c r="D45" t="s">
        <v>292</v>
      </c>
    </row>
    <row r="46" spans="3:4">
      <c r="C46" t="s">
        <v>292</v>
      </c>
      <c r="D46" t="s">
        <v>292</v>
      </c>
    </row>
    <row r="47" spans="3:4">
      <c r="C47" t="s">
        <v>292</v>
      </c>
      <c r="D47" t="s">
        <v>292</v>
      </c>
    </row>
    <row r="48" spans="3:4">
      <c r="C48" t="s">
        <v>292</v>
      </c>
      <c r="D48" t="s">
        <v>292</v>
      </c>
    </row>
    <row r="49" spans="3:4">
      <c r="C49" t="s">
        <v>292</v>
      </c>
      <c r="D49" t="s">
        <v>292</v>
      </c>
    </row>
    <row r="50" spans="3:4">
      <c r="C50" t="s">
        <v>292</v>
      </c>
      <c r="D50" t="s">
        <v>292</v>
      </c>
    </row>
    <row r="51" spans="3:4">
      <c r="C51" t="s">
        <v>292</v>
      </c>
      <c r="D51" t="s">
        <v>292</v>
      </c>
    </row>
    <row r="52" spans="3:4">
      <c r="C52" t="s">
        <v>292</v>
      </c>
      <c r="D52" t="s">
        <v>292</v>
      </c>
    </row>
    <row r="53" spans="3:4">
      <c r="C53" t="s">
        <v>292</v>
      </c>
      <c r="D53" t="s">
        <v>292</v>
      </c>
    </row>
    <row r="54" spans="3:4">
      <c r="C54" t="s">
        <v>292</v>
      </c>
      <c r="D54" t="s">
        <v>292</v>
      </c>
    </row>
    <row r="55" spans="3:4">
      <c r="C55" t="s">
        <v>292</v>
      </c>
      <c r="D55" t="s">
        <v>292</v>
      </c>
    </row>
    <row r="56" spans="3:4">
      <c r="C56" t="s">
        <v>292</v>
      </c>
      <c r="D56" t="s">
        <v>292</v>
      </c>
    </row>
    <row r="57" spans="3:4">
      <c r="C57" t="s">
        <v>292</v>
      </c>
      <c r="D57" t="s">
        <v>292</v>
      </c>
    </row>
    <row r="58" spans="3:4">
      <c r="C58" t="s">
        <v>292</v>
      </c>
      <c r="D58" t="s">
        <v>292</v>
      </c>
    </row>
    <row r="59" spans="3:4">
      <c r="C59" t="s">
        <v>292</v>
      </c>
      <c r="D59" t="s">
        <v>292</v>
      </c>
    </row>
    <row r="60" spans="3:4">
      <c r="C60" t="s">
        <v>292</v>
      </c>
      <c r="D60" t="s">
        <v>292</v>
      </c>
    </row>
    <row r="61" spans="3:4">
      <c r="C61" t="s">
        <v>292</v>
      </c>
      <c r="D61" t="s">
        <v>292</v>
      </c>
    </row>
    <row r="62" spans="3:4">
      <c r="C62" t="s">
        <v>292</v>
      </c>
      <c r="D62" t="s">
        <v>292</v>
      </c>
    </row>
    <row r="63" spans="3:4">
      <c r="C63" t="s">
        <v>292</v>
      </c>
      <c r="D63" t="s">
        <v>292</v>
      </c>
    </row>
    <row r="64" spans="3:4">
      <c r="C64" t="s">
        <v>292</v>
      </c>
      <c r="D64" t="s">
        <v>292</v>
      </c>
    </row>
    <row r="65" spans="3:4">
      <c r="C65" t="s">
        <v>292</v>
      </c>
      <c r="D65" t="s">
        <v>292</v>
      </c>
    </row>
  </sheetData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290</v>
      </c>
      <c r="D7" t="s">
        <v>290</v>
      </c>
    </row>
    <row r="8" spans="3:4">
      <c r="C8" t="s">
        <v>290</v>
      </c>
      <c r="D8" t="s">
        <v>290</v>
      </c>
    </row>
    <row r="9" spans="3:4">
      <c r="C9" t="s">
        <v>290</v>
      </c>
      <c r="D9" t="s">
        <v>290</v>
      </c>
    </row>
    <row r="10" spans="3:4">
      <c r="C10" t="s">
        <v>290</v>
      </c>
      <c r="D10" t="s">
        <v>290</v>
      </c>
    </row>
    <row r="11" spans="3:4">
      <c r="C11" t="s">
        <v>290</v>
      </c>
      <c r="D11" t="s">
        <v>290</v>
      </c>
    </row>
    <row r="12" spans="3:4">
      <c r="C12" t="s">
        <v>290</v>
      </c>
      <c r="D12" t="s">
        <v>290</v>
      </c>
    </row>
    <row r="13" spans="3:4">
      <c r="C13" t="s">
        <v>290</v>
      </c>
      <c r="D13" t="s">
        <v>290</v>
      </c>
    </row>
    <row r="14" spans="3:4">
      <c r="C14" t="s">
        <v>290</v>
      </c>
      <c r="D14" t="s">
        <v>290</v>
      </c>
    </row>
    <row r="15" spans="3:4">
      <c r="C15" t="s">
        <v>290</v>
      </c>
      <c r="D15" t="s">
        <v>290</v>
      </c>
    </row>
    <row r="16" spans="3:4">
      <c r="C16" t="s">
        <v>290</v>
      </c>
      <c r="D16" t="s">
        <v>290</v>
      </c>
    </row>
    <row r="17" spans="3:4">
      <c r="C17" t="s">
        <v>290</v>
      </c>
      <c r="D17" t="s">
        <v>290</v>
      </c>
    </row>
    <row r="18" spans="3:4">
      <c r="C18" t="s">
        <v>290</v>
      </c>
      <c r="D18" t="s">
        <v>290</v>
      </c>
    </row>
    <row r="19" spans="3:4">
      <c r="C19" t="s">
        <v>290</v>
      </c>
      <c r="D19" t="s">
        <v>290</v>
      </c>
    </row>
    <row r="20" spans="3:4">
      <c r="C20" t="s">
        <v>290</v>
      </c>
      <c r="D20" t="s">
        <v>290</v>
      </c>
    </row>
    <row r="21" spans="3:4">
      <c r="C21" t="s">
        <v>290</v>
      </c>
      <c r="D21" t="s">
        <v>290</v>
      </c>
    </row>
    <row r="22" spans="3:4">
      <c r="C22" t="s">
        <v>290</v>
      </c>
      <c r="D22" t="s">
        <v>290</v>
      </c>
    </row>
    <row r="23" spans="3:4">
      <c r="C23" t="s">
        <v>290</v>
      </c>
      <c r="D23" t="s">
        <v>290</v>
      </c>
    </row>
    <row r="24" spans="3:4">
      <c r="C24" t="s">
        <v>290</v>
      </c>
      <c r="D24" t="s">
        <v>290</v>
      </c>
    </row>
    <row r="25" spans="3:4">
      <c r="C25" t="s">
        <v>290</v>
      </c>
      <c r="D25" t="s">
        <v>290</v>
      </c>
    </row>
    <row r="26" spans="3:4">
      <c r="C26" t="s">
        <v>290</v>
      </c>
      <c r="D26" t="s">
        <v>290</v>
      </c>
    </row>
    <row r="27" spans="3:4">
      <c r="C27" t="s">
        <v>290</v>
      </c>
      <c r="D27" t="s">
        <v>290</v>
      </c>
    </row>
    <row r="28" spans="3:4">
      <c r="C28" t="s">
        <v>290</v>
      </c>
      <c r="D28" t="s">
        <v>290</v>
      </c>
    </row>
    <row r="29" spans="3:4">
      <c r="C29" t="s">
        <v>290</v>
      </c>
      <c r="D29" t="s">
        <v>290</v>
      </c>
    </row>
    <row r="30" spans="3:4">
      <c r="C30" t="s">
        <v>290</v>
      </c>
      <c r="D30" t="s">
        <v>290</v>
      </c>
    </row>
    <row r="31" spans="3:4">
      <c r="C31" t="s">
        <v>290</v>
      </c>
      <c r="D31" t="s">
        <v>290</v>
      </c>
    </row>
    <row r="32" spans="3:4">
      <c r="C32" t="s">
        <v>290</v>
      </c>
      <c r="D32" t="s">
        <v>290</v>
      </c>
    </row>
    <row r="33" spans="3:4">
      <c r="C33" t="s">
        <v>290</v>
      </c>
      <c r="D33" t="s">
        <v>290</v>
      </c>
    </row>
    <row r="34" spans="3:4">
      <c r="C34" t="s">
        <v>290</v>
      </c>
      <c r="D34" t="s">
        <v>290</v>
      </c>
    </row>
    <row r="35" spans="3:4">
      <c r="C35" t="s">
        <v>290</v>
      </c>
      <c r="D35" t="s">
        <v>290</v>
      </c>
    </row>
    <row r="36" spans="3:4">
      <c r="C36" t="s">
        <v>290</v>
      </c>
      <c r="D36" t="s">
        <v>290</v>
      </c>
    </row>
    <row r="37" spans="3:4">
      <c r="C37" t="s">
        <v>290</v>
      </c>
      <c r="D37" t="s">
        <v>290</v>
      </c>
    </row>
    <row r="38" spans="3:4">
      <c r="C38" t="s">
        <v>290</v>
      </c>
      <c r="D38" t="s">
        <v>290</v>
      </c>
    </row>
    <row r="39" spans="3:4">
      <c r="C39" t="s">
        <v>290</v>
      </c>
      <c r="D39" t="s">
        <v>290</v>
      </c>
    </row>
    <row r="40" spans="3:4">
      <c r="C40" t="s">
        <v>290</v>
      </c>
      <c r="D40" t="s">
        <v>290</v>
      </c>
    </row>
    <row r="41" spans="3:4">
      <c r="C41" t="s">
        <v>290</v>
      </c>
      <c r="D41" t="s">
        <v>290</v>
      </c>
    </row>
    <row r="42" spans="3:4">
      <c r="C42" t="s">
        <v>290</v>
      </c>
      <c r="D42" t="s">
        <v>290</v>
      </c>
    </row>
    <row r="43" spans="3:4">
      <c r="C43" t="s">
        <v>290</v>
      </c>
      <c r="D43" t="s">
        <v>290</v>
      </c>
    </row>
    <row r="44" spans="3:4">
      <c r="C44" t="s">
        <v>290</v>
      </c>
      <c r="D44" t="s">
        <v>290</v>
      </c>
    </row>
    <row r="45" spans="3:4">
      <c r="C45" t="s">
        <v>290</v>
      </c>
      <c r="D45" t="s">
        <v>290</v>
      </c>
    </row>
    <row r="46" spans="3:4">
      <c r="C46" t="s">
        <v>290</v>
      </c>
      <c r="D46" t="s">
        <v>290</v>
      </c>
    </row>
    <row r="47" spans="3:4">
      <c r="C47" t="s">
        <v>290</v>
      </c>
      <c r="D47" t="s">
        <v>290</v>
      </c>
    </row>
    <row r="48" spans="3:4">
      <c r="C48" t="s">
        <v>290</v>
      </c>
      <c r="D48" t="s">
        <v>290</v>
      </c>
    </row>
    <row r="49" spans="3:4">
      <c r="C49" t="s">
        <v>290</v>
      </c>
      <c r="D49" t="s">
        <v>290</v>
      </c>
    </row>
    <row r="50" spans="3:4">
      <c r="C50" t="s">
        <v>290</v>
      </c>
      <c r="D50" t="s">
        <v>290</v>
      </c>
    </row>
    <row r="51" spans="3:4">
      <c r="C51" t="s">
        <v>290</v>
      </c>
      <c r="D51" t="s">
        <v>290</v>
      </c>
    </row>
    <row r="52" spans="3:4">
      <c r="C52" t="s">
        <v>290</v>
      </c>
      <c r="D52" t="s">
        <v>290</v>
      </c>
    </row>
    <row r="53" spans="3:4">
      <c r="C53" t="s">
        <v>290</v>
      </c>
      <c r="D53" t="s">
        <v>290</v>
      </c>
    </row>
    <row r="54" spans="3:4">
      <c r="C54" t="s">
        <v>290</v>
      </c>
      <c r="D54" t="s">
        <v>290</v>
      </c>
    </row>
    <row r="55" spans="3:4">
      <c r="C55" t="s">
        <v>290</v>
      </c>
      <c r="D55" t="s">
        <v>290</v>
      </c>
    </row>
    <row r="56" spans="3:4">
      <c r="C56" t="s">
        <v>290</v>
      </c>
      <c r="D56" t="s">
        <v>290</v>
      </c>
    </row>
    <row r="57" spans="3:4">
      <c r="C57" t="s">
        <v>290</v>
      </c>
      <c r="D57" t="s">
        <v>290</v>
      </c>
    </row>
    <row r="58" spans="3:4">
      <c r="C58" t="s">
        <v>290</v>
      </c>
      <c r="D58" t="s">
        <v>290</v>
      </c>
    </row>
    <row r="59" spans="3:4">
      <c r="C59" t="s">
        <v>290</v>
      </c>
      <c r="D59" t="s">
        <v>290</v>
      </c>
    </row>
    <row r="60" spans="3:4">
      <c r="C60" t="s">
        <v>290</v>
      </c>
      <c r="D60" t="s">
        <v>290</v>
      </c>
    </row>
    <row r="61" spans="3:4">
      <c r="C61" t="s">
        <v>290</v>
      </c>
      <c r="D61" t="s">
        <v>290</v>
      </c>
    </row>
    <row r="62" spans="3:4">
      <c r="C62" t="s">
        <v>290</v>
      </c>
      <c r="D62" t="s">
        <v>290</v>
      </c>
    </row>
    <row r="63" spans="3:4">
      <c r="C63" t="s">
        <v>290</v>
      </c>
      <c r="D63" t="s">
        <v>290</v>
      </c>
    </row>
    <row r="64" spans="3:4">
      <c r="C64" t="s">
        <v>290</v>
      </c>
      <c r="D64" t="s">
        <v>290</v>
      </c>
    </row>
    <row r="65" spans="3:4">
      <c r="C65" t="s">
        <v>290</v>
      </c>
      <c r="D65" t="s">
        <v>290</v>
      </c>
    </row>
  </sheetData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288</v>
      </c>
      <c r="D7" t="s">
        <v>288</v>
      </c>
    </row>
    <row r="8" spans="3:4">
      <c r="C8" t="s">
        <v>288</v>
      </c>
      <c r="D8" t="s">
        <v>288</v>
      </c>
    </row>
    <row r="9" spans="3:4">
      <c r="C9" t="s">
        <v>288</v>
      </c>
      <c r="D9" t="s">
        <v>288</v>
      </c>
    </row>
    <row r="10" spans="3:4">
      <c r="C10" t="s">
        <v>288</v>
      </c>
      <c r="D10" t="s">
        <v>288</v>
      </c>
    </row>
    <row r="11" spans="3:4">
      <c r="C11" t="s">
        <v>288</v>
      </c>
      <c r="D11" t="s">
        <v>288</v>
      </c>
    </row>
    <row r="12" spans="3:4">
      <c r="C12" t="s">
        <v>288</v>
      </c>
      <c r="D12" t="s">
        <v>288</v>
      </c>
    </row>
    <row r="13" spans="3:4">
      <c r="C13" t="s">
        <v>288</v>
      </c>
      <c r="D13" t="s">
        <v>288</v>
      </c>
    </row>
    <row r="14" spans="3:4">
      <c r="C14" t="s">
        <v>288</v>
      </c>
      <c r="D14" t="s">
        <v>288</v>
      </c>
    </row>
    <row r="15" spans="3:4">
      <c r="C15" t="s">
        <v>288</v>
      </c>
      <c r="D15" t="s">
        <v>288</v>
      </c>
    </row>
    <row r="16" spans="3:4">
      <c r="C16" t="s">
        <v>288</v>
      </c>
      <c r="D16" t="s">
        <v>288</v>
      </c>
    </row>
    <row r="17" spans="3:4">
      <c r="C17" t="s">
        <v>288</v>
      </c>
      <c r="D17" t="s">
        <v>288</v>
      </c>
    </row>
    <row r="18" spans="3:4">
      <c r="C18" t="s">
        <v>288</v>
      </c>
      <c r="D18" t="s">
        <v>288</v>
      </c>
    </row>
    <row r="19" spans="3:4">
      <c r="C19" t="s">
        <v>288</v>
      </c>
      <c r="D19" t="s">
        <v>288</v>
      </c>
    </row>
    <row r="20" spans="3:4">
      <c r="C20" t="s">
        <v>288</v>
      </c>
      <c r="D20" t="s">
        <v>288</v>
      </c>
    </row>
    <row r="21" spans="3:4">
      <c r="C21" t="s">
        <v>288</v>
      </c>
      <c r="D21" t="s">
        <v>288</v>
      </c>
    </row>
    <row r="22" spans="3:4">
      <c r="C22" t="s">
        <v>288</v>
      </c>
      <c r="D22" t="s">
        <v>288</v>
      </c>
    </row>
    <row r="23" spans="3:4">
      <c r="C23" t="s">
        <v>288</v>
      </c>
      <c r="D23" t="s">
        <v>288</v>
      </c>
    </row>
    <row r="24" spans="3:4">
      <c r="C24" t="s">
        <v>288</v>
      </c>
      <c r="D24" t="s">
        <v>288</v>
      </c>
    </row>
    <row r="25" spans="3:4">
      <c r="C25" t="s">
        <v>288</v>
      </c>
      <c r="D25" t="s">
        <v>288</v>
      </c>
    </row>
    <row r="26" spans="3:4">
      <c r="C26" t="s">
        <v>288</v>
      </c>
      <c r="D26" t="s">
        <v>288</v>
      </c>
    </row>
    <row r="27" spans="3:4">
      <c r="C27" t="s">
        <v>288</v>
      </c>
      <c r="D27" t="s">
        <v>288</v>
      </c>
    </row>
    <row r="28" spans="3:4">
      <c r="C28" t="s">
        <v>288</v>
      </c>
      <c r="D28" t="s">
        <v>288</v>
      </c>
    </row>
    <row r="29" spans="3:4">
      <c r="C29" t="s">
        <v>288</v>
      </c>
      <c r="D29" t="s">
        <v>288</v>
      </c>
    </row>
    <row r="30" spans="3:4">
      <c r="C30" t="s">
        <v>288</v>
      </c>
      <c r="D30" t="s">
        <v>288</v>
      </c>
    </row>
    <row r="31" spans="3:4">
      <c r="C31" t="s">
        <v>288</v>
      </c>
      <c r="D31" t="s">
        <v>288</v>
      </c>
    </row>
    <row r="32" spans="3:4">
      <c r="C32" t="s">
        <v>288</v>
      </c>
      <c r="D32" t="s">
        <v>288</v>
      </c>
    </row>
    <row r="33" spans="3:4">
      <c r="C33" t="s">
        <v>288</v>
      </c>
      <c r="D33" t="s">
        <v>288</v>
      </c>
    </row>
    <row r="34" spans="3:4">
      <c r="C34" t="s">
        <v>288</v>
      </c>
      <c r="D34" t="s">
        <v>288</v>
      </c>
    </row>
    <row r="35" spans="3:4">
      <c r="C35" t="s">
        <v>288</v>
      </c>
      <c r="D35" t="s">
        <v>288</v>
      </c>
    </row>
    <row r="36" spans="3:4">
      <c r="C36" t="s">
        <v>288</v>
      </c>
      <c r="D36" t="s">
        <v>288</v>
      </c>
    </row>
    <row r="37" spans="3:4">
      <c r="C37" t="s">
        <v>288</v>
      </c>
      <c r="D37" t="s">
        <v>288</v>
      </c>
    </row>
    <row r="38" spans="3:4">
      <c r="C38" t="s">
        <v>288</v>
      </c>
      <c r="D38" t="s">
        <v>288</v>
      </c>
    </row>
    <row r="39" spans="3:4">
      <c r="C39" t="s">
        <v>288</v>
      </c>
      <c r="D39" t="s">
        <v>288</v>
      </c>
    </row>
    <row r="40" spans="3:4">
      <c r="C40" t="s">
        <v>288</v>
      </c>
      <c r="D40" t="s">
        <v>288</v>
      </c>
    </row>
    <row r="41" spans="3:4">
      <c r="C41" t="s">
        <v>288</v>
      </c>
      <c r="D41" t="s">
        <v>288</v>
      </c>
    </row>
    <row r="42" spans="3:4">
      <c r="C42" t="s">
        <v>288</v>
      </c>
      <c r="D42" t="s">
        <v>288</v>
      </c>
    </row>
    <row r="43" spans="3:4">
      <c r="C43" t="s">
        <v>288</v>
      </c>
      <c r="D43" t="s">
        <v>288</v>
      </c>
    </row>
    <row r="44" spans="3:4">
      <c r="C44" t="s">
        <v>288</v>
      </c>
      <c r="D44" t="s">
        <v>288</v>
      </c>
    </row>
    <row r="45" spans="3:4">
      <c r="C45" t="s">
        <v>288</v>
      </c>
      <c r="D45" t="s">
        <v>288</v>
      </c>
    </row>
    <row r="46" spans="3:4">
      <c r="C46" t="s">
        <v>288</v>
      </c>
      <c r="D46" t="s">
        <v>288</v>
      </c>
    </row>
    <row r="47" spans="3:4">
      <c r="C47" t="s">
        <v>288</v>
      </c>
      <c r="D47" t="s">
        <v>288</v>
      </c>
    </row>
    <row r="48" spans="3:4">
      <c r="C48" t="s">
        <v>288</v>
      </c>
      <c r="D48" t="s">
        <v>288</v>
      </c>
    </row>
    <row r="49" spans="3:4">
      <c r="C49" t="s">
        <v>288</v>
      </c>
      <c r="D49" t="s">
        <v>288</v>
      </c>
    </row>
    <row r="50" spans="3:4">
      <c r="C50" t="s">
        <v>288</v>
      </c>
      <c r="D50" t="s">
        <v>288</v>
      </c>
    </row>
    <row r="51" spans="3:4">
      <c r="C51" t="s">
        <v>288</v>
      </c>
      <c r="D51" t="s">
        <v>288</v>
      </c>
    </row>
    <row r="52" spans="3:4">
      <c r="C52" t="s">
        <v>288</v>
      </c>
      <c r="D52" t="s">
        <v>288</v>
      </c>
    </row>
    <row r="53" spans="3:4">
      <c r="C53" t="s">
        <v>288</v>
      </c>
      <c r="D53" t="s">
        <v>288</v>
      </c>
    </row>
    <row r="54" spans="3:4">
      <c r="C54" t="s">
        <v>288</v>
      </c>
      <c r="D54" t="s">
        <v>288</v>
      </c>
    </row>
    <row r="55" spans="3:4">
      <c r="C55" t="s">
        <v>288</v>
      </c>
      <c r="D55" t="s">
        <v>288</v>
      </c>
    </row>
    <row r="56" spans="3:4">
      <c r="C56" t="s">
        <v>288</v>
      </c>
      <c r="D56" t="s">
        <v>288</v>
      </c>
    </row>
    <row r="57" spans="3:4">
      <c r="C57" t="s">
        <v>288</v>
      </c>
      <c r="D57" t="s">
        <v>288</v>
      </c>
    </row>
    <row r="58" spans="3:4">
      <c r="C58" t="s">
        <v>288</v>
      </c>
      <c r="D58" t="s">
        <v>288</v>
      </c>
    </row>
    <row r="59" spans="3:4">
      <c r="C59" t="s">
        <v>288</v>
      </c>
      <c r="D59" t="s">
        <v>288</v>
      </c>
    </row>
    <row r="60" spans="3:4">
      <c r="C60" t="s">
        <v>288</v>
      </c>
      <c r="D60" t="s">
        <v>288</v>
      </c>
    </row>
    <row r="61" spans="3:4">
      <c r="C61" t="s">
        <v>288</v>
      </c>
      <c r="D61" t="s">
        <v>288</v>
      </c>
    </row>
    <row r="62" spans="3:4">
      <c r="C62" t="s">
        <v>288</v>
      </c>
      <c r="D62" t="s">
        <v>288</v>
      </c>
    </row>
    <row r="63" spans="3:4">
      <c r="C63" t="s">
        <v>288</v>
      </c>
      <c r="D63" t="s">
        <v>288</v>
      </c>
    </row>
    <row r="64" spans="3:4">
      <c r="C64" t="s">
        <v>288</v>
      </c>
      <c r="D64" t="s">
        <v>288</v>
      </c>
    </row>
    <row r="65" spans="3:4">
      <c r="C65" t="s">
        <v>288</v>
      </c>
      <c r="D65" t="s">
        <v>288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43" sqref="G43"/>
    </sheetView>
  </sheetViews>
  <sheetFormatPr defaultColWidth="11.7109375" defaultRowHeight="15"/>
  <cols>
    <col min="1" max="1" width="59.42578125" customWidth="1"/>
    <col min="2" max="2" width="9" customWidth="1"/>
    <col min="3" max="3" width="19.85546875" customWidth="1"/>
    <col min="4" max="4" width="17.5703125" customWidth="1"/>
    <col min="5" max="246" width="9.140625" customWidth="1"/>
    <col min="247" max="247" width="38.85546875" customWidth="1"/>
    <col min="248" max="248" width="7.85546875" customWidth="1"/>
    <col min="249" max="249" width="14.85546875" customWidth="1"/>
    <col min="250" max="250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194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8610770.4699999988</v>
      </c>
      <c r="D8" s="11">
        <f>D9+D11+D14+D15</f>
        <v>8363333.5300000003</v>
      </c>
    </row>
    <row r="9" spans="1:4" ht="30">
      <c r="A9" s="12" t="s">
        <v>90</v>
      </c>
      <c r="B9" s="13" t="s">
        <v>91</v>
      </c>
      <c r="C9" s="14">
        <f>8046575.93</f>
        <v>8046575.9299999997</v>
      </c>
      <c r="D9" s="15">
        <f>7584183.96</f>
        <v>7584183.96</v>
      </c>
    </row>
    <row r="10" spans="1:4">
      <c r="A10" s="16" t="s">
        <v>92</v>
      </c>
      <c r="B10" s="17" t="s">
        <v>93</v>
      </c>
      <c r="C10" s="18">
        <f>4829389.53149002</f>
        <v>4829389.5314900205</v>
      </c>
      <c r="D10" s="19">
        <f>_3h_E12</f>
        <v>4829389.5314900205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564194.54</v>
      </c>
      <c r="D15" s="15">
        <f>SUM(D16:D24)</f>
        <v>779149.57000000007</v>
      </c>
    </row>
    <row r="16" spans="1:4">
      <c r="A16" s="22" t="s">
        <v>103</v>
      </c>
      <c r="B16" s="17" t="s">
        <v>104</v>
      </c>
      <c r="C16" s="111">
        <v>275260.79999999999</v>
      </c>
      <c r="D16" s="113">
        <v>427438.13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247561.68</f>
        <v>247561.68</v>
      </c>
      <c r="D18" s="19">
        <f>310337.68</f>
        <v>310337.68</v>
      </c>
    </row>
    <row r="19" spans="1:4">
      <c r="A19" s="22" t="s">
        <v>109</v>
      </c>
      <c r="B19" s="17" t="s">
        <v>110</v>
      </c>
      <c r="C19" s="18">
        <f>17864.14</f>
        <v>17864.14</v>
      </c>
      <c r="D19" s="19">
        <f>17876.14</f>
        <v>17876.14</v>
      </c>
    </row>
    <row r="20" spans="1:4">
      <c r="A20" s="22" t="s">
        <v>111</v>
      </c>
      <c r="B20" s="17" t="s">
        <v>112</v>
      </c>
      <c r="C20" s="18">
        <f>23507.92</f>
        <v>23507.919999999998</v>
      </c>
      <c r="D20" s="19">
        <f>23497.62</f>
        <v>23497.62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1668728.0900000448</v>
      </c>
      <c r="D25" s="15">
        <f>D26+D27+D30+D28+D29+D31</f>
        <v>1669256.26</v>
      </c>
    </row>
    <row r="26" spans="1:4" ht="20.25" customHeight="1">
      <c r="A26" s="24" t="s">
        <v>123</v>
      </c>
      <c r="B26" s="20" t="s">
        <v>124</v>
      </c>
      <c r="C26" s="18">
        <f>966504.96</f>
        <v>966504.95999999996</v>
      </c>
      <c r="D26" s="19">
        <f>966504.96</f>
        <v>966504.95999999996</v>
      </c>
    </row>
    <row r="27" spans="1:4" ht="45">
      <c r="A27" s="24" t="s">
        <v>125</v>
      </c>
      <c r="B27" s="20" t="s">
        <v>126</v>
      </c>
      <c r="C27" s="18">
        <f>103492.08</f>
        <v>103492.08</v>
      </c>
      <c r="D27" s="19">
        <f>103431.25</f>
        <v>103431.25</v>
      </c>
    </row>
    <row r="28" spans="1:4" ht="32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121101.48</f>
        <v>121101.48</v>
      </c>
      <c r="D29" s="19">
        <f>120042.72</f>
        <v>120042.72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477629.57000004471</v>
      </c>
      <c r="D31" s="15">
        <f>SUM(D32:D39)</f>
        <v>479277.33000000007</v>
      </c>
    </row>
    <row r="32" spans="1:4" ht="19.5" customHeight="1">
      <c r="A32" s="24" t="s">
        <v>135</v>
      </c>
      <c r="B32" s="17" t="s">
        <v>136</v>
      </c>
      <c r="C32" s="18">
        <f>183788.47</f>
        <v>183788.47</v>
      </c>
      <c r="D32" s="19">
        <f>183788.54</f>
        <v>183788.54</v>
      </c>
    </row>
    <row r="33" spans="1:4">
      <c r="A33" s="24" t="s">
        <v>137</v>
      </c>
      <c r="B33" s="17" t="s">
        <v>138</v>
      </c>
      <c r="C33" s="18">
        <f>168147.12</f>
        <v>168147.12</v>
      </c>
      <c r="D33" s="19">
        <f>159340.5</f>
        <v>159340.5</v>
      </c>
    </row>
    <row r="34" spans="1:4">
      <c r="A34" s="24" t="s">
        <v>139</v>
      </c>
      <c r="B34" s="17" t="s">
        <v>140</v>
      </c>
      <c r="C34" s="18">
        <f>125159.28</f>
        <v>125159.28</v>
      </c>
      <c r="D34" s="19">
        <f>136148.29</f>
        <v>136148.29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503</v>
      </c>
      <c r="B39" s="17" t="s">
        <v>150</v>
      </c>
      <c r="C39" s="18">
        <f>534.700000044704</f>
        <v>534.70000004470398</v>
      </c>
      <c r="D39" s="19"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72819.72</v>
      </c>
      <c r="D45" s="27">
        <f>SUM(D46:D48)</f>
        <v>80389.670000000013</v>
      </c>
    </row>
    <row r="46" spans="1:4">
      <c r="A46" s="21" t="s">
        <v>163</v>
      </c>
      <c r="B46" s="17" t="s">
        <v>164</v>
      </c>
      <c r="C46" s="18">
        <f>70178.4</f>
        <v>70178.399999999994</v>
      </c>
      <c r="D46" s="19">
        <f>77748.35</f>
        <v>77748.350000000006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818622.12</f>
        <v>818622.12</v>
      </c>
      <c r="D49" s="30">
        <v>1057960.94</v>
      </c>
    </row>
    <row r="50" spans="1:4">
      <c r="A50" s="8" t="s">
        <v>169</v>
      </c>
      <c r="B50" s="9" t="s">
        <v>170</v>
      </c>
      <c r="C50" s="14">
        <f>C8+C25+C40+C41+C42+C43+C44+C45+C49+C51+C52</f>
        <v>11170940.400000043</v>
      </c>
      <c r="D50" s="15">
        <f>D8+D25+D40+D41+D42+D43+D44+D45+D49+D51+D52</f>
        <v>11170940.4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6816917.3999999994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6768171.6</f>
        <v>6768171.5999999996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48745.8</f>
        <v>48745.8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3795078</f>
        <v>3795078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10611995.399999999</v>
      </c>
      <c r="D59" s="27">
        <f>D54+D57+D58</f>
        <v>0</v>
      </c>
    </row>
    <row r="60" spans="1:4" ht="25.5">
      <c r="A60" s="33" t="s">
        <v>188</v>
      </c>
      <c r="B60" s="9"/>
      <c r="C60" s="34">
        <v>41466</v>
      </c>
      <c r="D60" s="35">
        <v>41466</v>
      </c>
    </row>
    <row r="61" spans="1:4" ht="15.75" thickBot="1">
      <c r="A61" s="36" t="s">
        <v>189</v>
      </c>
      <c r="B61" s="37"/>
      <c r="C61" s="38">
        <f>(C50+C51+C52)/C60/12</f>
        <v>22.450000000000088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9" sqref="G9"/>
    </sheetView>
  </sheetViews>
  <sheetFormatPr defaultColWidth="11.7109375" defaultRowHeight="15"/>
  <cols>
    <col min="1" max="1" width="60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2978358.54</v>
      </c>
      <c r="D8" s="11">
        <f>D9+D11+D14+D15</f>
        <v>2865417.31</v>
      </c>
    </row>
    <row r="9" spans="1:4" ht="30">
      <c r="A9" s="12" t="s">
        <v>90</v>
      </c>
      <c r="B9" s="13" t="s">
        <v>91</v>
      </c>
      <c r="C9" s="14">
        <f>2657986.06</f>
        <v>2657986.06</v>
      </c>
      <c r="D9" s="15">
        <f>2620663.68</f>
        <v>2620663.6800000002</v>
      </c>
    </row>
    <row r="10" spans="1:4">
      <c r="A10" s="16" t="s">
        <v>92</v>
      </c>
      <c r="B10" s="17" t="s">
        <v>93</v>
      </c>
      <c r="C10" s="18">
        <f>1670953.90168971</f>
        <v>1670953.9016897101</v>
      </c>
      <c r="D10" s="19">
        <f>_30h_E12</f>
        <v>1670953.9016897101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320372.47999999998</v>
      </c>
      <c r="D15" s="15">
        <f>SUM(D16:D24)</f>
        <v>244753.63</v>
      </c>
    </row>
    <row r="16" spans="1:4">
      <c r="A16" s="22" t="s">
        <v>103</v>
      </c>
      <c r="B16" s="17" t="s">
        <v>104</v>
      </c>
      <c r="C16" s="111">
        <v>243783.36</v>
      </c>
      <c r="D16" s="113">
        <v>151002.89000000001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67693.32</f>
        <v>67693.320000000007</v>
      </c>
      <c r="D18" s="19">
        <f>84858.84</f>
        <v>84858.84</v>
      </c>
    </row>
    <row r="19" spans="1:4">
      <c r="A19" s="22" t="s">
        <v>109</v>
      </c>
      <c r="B19" s="17" t="s">
        <v>110</v>
      </c>
      <c r="C19" s="18">
        <f>0</f>
        <v>0</v>
      </c>
      <c r="D19" s="19">
        <f>0</f>
        <v>0</v>
      </c>
    </row>
    <row r="20" spans="1:4">
      <c r="A20" s="22" t="s">
        <v>111</v>
      </c>
      <c r="B20" s="17" t="s">
        <v>112</v>
      </c>
      <c r="C20" s="18">
        <f>8895.8</f>
        <v>8895.7999999999993</v>
      </c>
      <c r="D20" s="19">
        <f>8891.9</f>
        <v>8891.9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990555.12</v>
      </c>
      <c r="D25" s="15">
        <f>D26+D27+D30+D28+D29+D31</f>
        <v>582807.99</v>
      </c>
    </row>
    <row r="26" spans="1:4" ht="18" customHeight="1">
      <c r="A26" s="24" t="s">
        <v>123</v>
      </c>
      <c r="B26" s="20" t="s">
        <v>124</v>
      </c>
      <c r="C26" s="18">
        <f>327202.2</f>
        <v>327202.2</v>
      </c>
      <c r="D26" s="19">
        <f>327202.19</f>
        <v>327202.19</v>
      </c>
    </row>
    <row r="27" spans="1:4" ht="33.75" customHeight="1">
      <c r="A27" s="24" t="s">
        <v>125</v>
      </c>
      <c r="B27" s="20" t="s">
        <v>126</v>
      </c>
      <c r="C27" s="18">
        <f>46173.36</f>
        <v>46173.36</v>
      </c>
      <c r="D27" s="19">
        <f>46165.86</f>
        <v>46165.86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46756.92</f>
        <v>46756.92</v>
      </c>
      <c r="D29" s="19">
        <f>46348.17</f>
        <v>46348.17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570422.64</v>
      </c>
      <c r="D31" s="15">
        <f>SUM(D32:D39)</f>
        <v>163091.77000000002</v>
      </c>
    </row>
    <row r="32" spans="1:4" ht="21.75" customHeight="1">
      <c r="A32" s="24" t="s">
        <v>135</v>
      </c>
      <c r="B32" s="17" t="s">
        <v>136</v>
      </c>
      <c r="C32" s="18">
        <f>68920.68</f>
        <v>68920.679999999993</v>
      </c>
      <c r="D32" s="19">
        <f>68920.71</f>
        <v>68920.710000000006</v>
      </c>
    </row>
    <row r="33" spans="1:4">
      <c r="A33" s="24" t="s">
        <v>137</v>
      </c>
      <c r="B33" s="17" t="s">
        <v>138</v>
      </c>
      <c r="C33" s="18">
        <f>68446.22</f>
        <v>68446.22</v>
      </c>
      <c r="D33" s="19">
        <f>62757.68</f>
        <v>62757.68</v>
      </c>
    </row>
    <row r="34" spans="1:4">
      <c r="A34" s="24" t="s">
        <v>139</v>
      </c>
      <c r="B34" s="17" t="s">
        <v>140</v>
      </c>
      <c r="C34" s="18">
        <f>30866.76</f>
        <v>30866.76</v>
      </c>
      <c r="D34" s="19">
        <f>31413.38</f>
        <v>31413.38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402188.98</f>
        <v>402188.98</v>
      </c>
      <c r="D39" s="19"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2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28086.239999999998</v>
      </c>
      <c r="D45" s="27">
        <f>SUM(D46:D48)</f>
        <v>459838.32999999996</v>
      </c>
    </row>
    <row r="46" spans="1:4">
      <c r="A46" s="21" t="s">
        <v>163</v>
      </c>
      <c r="B46" s="17" t="s">
        <v>164</v>
      </c>
      <c r="C46" s="18">
        <f>27095.76</f>
        <v>27095.759999999998</v>
      </c>
      <c r="D46" s="19">
        <f>30018.55</f>
        <v>30018.55</v>
      </c>
    </row>
    <row r="47" spans="1:4">
      <c r="A47" s="21" t="s">
        <v>149</v>
      </c>
      <c r="B47" s="17" t="s">
        <v>165</v>
      </c>
      <c r="C47" s="18">
        <f>0</f>
        <v>0</v>
      </c>
      <c r="D47" s="101">
        <f>428829.3</f>
        <v>428829.3</v>
      </c>
    </row>
    <row r="48" spans="1:4">
      <c r="A48" s="21" t="s">
        <v>166</v>
      </c>
      <c r="B48" s="17" t="s">
        <v>167</v>
      </c>
      <c r="C48" s="18">
        <f>990.48</f>
        <v>990.48</v>
      </c>
      <c r="D48" s="19">
        <f>990.48</f>
        <v>990.48</v>
      </c>
    </row>
    <row r="49" spans="1:4">
      <c r="A49" s="8" t="s">
        <v>440</v>
      </c>
      <c r="B49" s="28" t="s">
        <v>168</v>
      </c>
      <c r="C49" s="29">
        <f>316067.16</f>
        <v>316067.15999999997</v>
      </c>
      <c r="D49" s="30">
        <f>405003.43</f>
        <v>405003.43</v>
      </c>
    </row>
    <row r="50" spans="1:4">
      <c r="A50" s="8" t="s">
        <v>169</v>
      </c>
      <c r="B50" s="9" t="s">
        <v>170</v>
      </c>
      <c r="C50" s="14">
        <f>C8+C25+C40+C41+C42+C43+C44+C45+C49+C51+C52</f>
        <v>4313067.0600000005</v>
      </c>
      <c r="D50" s="15">
        <f>D8+D25+D40+D41+D42+D43+D44+D45+D49+D51+D52</f>
        <v>4313067.0599999996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2473822.44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2424718.92</f>
        <v>2424718.92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49103.52</f>
        <v>49103.519999999997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1333860</f>
        <v>1333860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3807682.44</v>
      </c>
      <c r="D59" s="27">
        <f>D54+D57+D58</f>
        <v>0</v>
      </c>
    </row>
    <row r="60" spans="1:4" ht="25.5">
      <c r="A60" s="33" t="s">
        <v>188</v>
      </c>
      <c r="B60" s="9"/>
      <c r="C60" s="34">
        <v>16009.9</v>
      </c>
      <c r="D60" s="35">
        <v>16009.9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286</v>
      </c>
      <c r="D7" t="s">
        <v>286</v>
      </c>
    </row>
    <row r="8" spans="3:4">
      <c r="C8" t="s">
        <v>286</v>
      </c>
      <c r="D8" t="s">
        <v>286</v>
      </c>
    </row>
    <row r="9" spans="3:4">
      <c r="C9" t="s">
        <v>286</v>
      </c>
      <c r="D9" t="s">
        <v>286</v>
      </c>
    </row>
    <row r="10" spans="3:4">
      <c r="C10" t="s">
        <v>286</v>
      </c>
      <c r="D10" t="s">
        <v>286</v>
      </c>
    </row>
    <row r="11" spans="3:4">
      <c r="C11" t="s">
        <v>286</v>
      </c>
      <c r="D11" t="s">
        <v>286</v>
      </c>
    </row>
    <row r="12" spans="3:4">
      <c r="C12" t="s">
        <v>286</v>
      </c>
      <c r="D12" t="s">
        <v>286</v>
      </c>
    </row>
    <row r="13" spans="3:4">
      <c r="C13" t="s">
        <v>286</v>
      </c>
      <c r="D13" t="s">
        <v>286</v>
      </c>
    </row>
    <row r="14" spans="3:4">
      <c r="C14" t="s">
        <v>286</v>
      </c>
      <c r="D14" t="s">
        <v>286</v>
      </c>
    </row>
    <row r="15" spans="3:4">
      <c r="C15" t="s">
        <v>286</v>
      </c>
      <c r="D15" t="s">
        <v>286</v>
      </c>
    </row>
    <row r="16" spans="3:4">
      <c r="C16" t="s">
        <v>286</v>
      </c>
      <c r="D16" t="s">
        <v>286</v>
      </c>
    </row>
    <row r="17" spans="3:4">
      <c r="C17" t="s">
        <v>286</v>
      </c>
      <c r="D17" t="s">
        <v>286</v>
      </c>
    </row>
    <row r="18" spans="3:4">
      <c r="C18" t="s">
        <v>286</v>
      </c>
      <c r="D18" t="s">
        <v>286</v>
      </c>
    </row>
    <row r="19" spans="3:4">
      <c r="C19" t="s">
        <v>286</v>
      </c>
      <c r="D19" t="s">
        <v>286</v>
      </c>
    </row>
    <row r="20" spans="3:4">
      <c r="C20" t="s">
        <v>286</v>
      </c>
      <c r="D20" t="s">
        <v>286</v>
      </c>
    </row>
    <row r="21" spans="3:4">
      <c r="C21" t="s">
        <v>286</v>
      </c>
      <c r="D21" t="s">
        <v>286</v>
      </c>
    </row>
    <row r="22" spans="3:4">
      <c r="C22" t="s">
        <v>286</v>
      </c>
      <c r="D22" t="s">
        <v>286</v>
      </c>
    </row>
    <row r="23" spans="3:4">
      <c r="C23" t="s">
        <v>286</v>
      </c>
      <c r="D23" t="s">
        <v>286</v>
      </c>
    </row>
    <row r="24" spans="3:4">
      <c r="C24" t="s">
        <v>286</v>
      </c>
      <c r="D24" t="s">
        <v>286</v>
      </c>
    </row>
    <row r="25" spans="3:4">
      <c r="C25" t="s">
        <v>286</v>
      </c>
      <c r="D25" t="s">
        <v>286</v>
      </c>
    </row>
    <row r="26" spans="3:4">
      <c r="C26" t="s">
        <v>286</v>
      </c>
      <c r="D26" t="s">
        <v>286</v>
      </c>
    </row>
    <row r="27" spans="3:4">
      <c r="C27" t="s">
        <v>286</v>
      </c>
      <c r="D27" t="s">
        <v>286</v>
      </c>
    </row>
    <row r="28" spans="3:4">
      <c r="C28" t="s">
        <v>286</v>
      </c>
      <c r="D28" t="s">
        <v>286</v>
      </c>
    </row>
    <row r="29" spans="3:4">
      <c r="C29" t="s">
        <v>286</v>
      </c>
      <c r="D29" t="s">
        <v>286</v>
      </c>
    </row>
    <row r="30" spans="3:4">
      <c r="C30" t="s">
        <v>286</v>
      </c>
      <c r="D30" t="s">
        <v>286</v>
      </c>
    </row>
    <row r="31" spans="3:4">
      <c r="C31" t="s">
        <v>286</v>
      </c>
      <c r="D31" t="s">
        <v>286</v>
      </c>
    </row>
    <row r="32" spans="3:4">
      <c r="C32" t="s">
        <v>286</v>
      </c>
      <c r="D32" t="s">
        <v>286</v>
      </c>
    </row>
    <row r="33" spans="3:4">
      <c r="C33" t="s">
        <v>286</v>
      </c>
      <c r="D33" t="s">
        <v>286</v>
      </c>
    </row>
    <row r="34" spans="3:4">
      <c r="C34" t="s">
        <v>286</v>
      </c>
      <c r="D34" t="s">
        <v>286</v>
      </c>
    </row>
    <row r="35" spans="3:4">
      <c r="C35" t="s">
        <v>286</v>
      </c>
      <c r="D35" t="s">
        <v>286</v>
      </c>
    </row>
    <row r="36" spans="3:4">
      <c r="C36" t="s">
        <v>286</v>
      </c>
      <c r="D36" t="s">
        <v>286</v>
      </c>
    </row>
    <row r="37" spans="3:4">
      <c r="C37" t="s">
        <v>286</v>
      </c>
      <c r="D37" t="s">
        <v>286</v>
      </c>
    </row>
    <row r="38" spans="3:4">
      <c r="C38" t="s">
        <v>286</v>
      </c>
      <c r="D38" t="s">
        <v>286</v>
      </c>
    </row>
    <row r="39" spans="3:4">
      <c r="C39" t="s">
        <v>286</v>
      </c>
      <c r="D39" t="s">
        <v>286</v>
      </c>
    </row>
    <row r="40" spans="3:4">
      <c r="C40" t="s">
        <v>286</v>
      </c>
      <c r="D40" t="s">
        <v>286</v>
      </c>
    </row>
    <row r="41" spans="3:4">
      <c r="C41" t="s">
        <v>286</v>
      </c>
      <c r="D41" t="s">
        <v>286</v>
      </c>
    </row>
    <row r="42" spans="3:4">
      <c r="C42" t="s">
        <v>286</v>
      </c>
      <c r="D42" t="s">
        <v>286</v>
      </c>
    </row>
    <row r="43" spans="3:4">
      <c r="C43" t="s">
        <v>286</v>
      </c>
      <c r="D43" t="s">
        <v>286</v>
      </c>
    </row>
    <row r="44" spans="3:4">
      <c r="C44" t="s">
        <v>286</v>
      </c>
      <c r="D44" t="s">
        <v>286</v>
      </c>
    </row>
    <row r="45" spans="3:4">
      <c r="C45" t="s">
        <v>286</v>
      </c>
      <c r="D45" t="s">
        <v>286</v>
      </c>
    </row>
    <row r="46" spans="3:4">
      <c r="C46" t="s">
        <v>286</v>
      </c>
      <c r="D46" t="s">
        <v>286</v>
      </c>
    </row>
    <row r="47" spans="3:4">
      <c r="C47" t="s">
        <v>286</v>
      </c>
      <c r="D47" t="s">
        <v>286</v>
      </c>
    </row>
    <row r="48" spans="3:4">
      <c r="C48" t="s">
        <v>286</v>
      </c>
      <c r="D48" t="s">
        <v>286</v>
      </c>
    </row>
    <row r="49" spans="3:4">
      <c r="C49" t="s">
        <v>286</v>
      </c>
      <c r="D49" t="s">
        <v>286</v>
      </c>
    </row>
    <row r="50" spans="3:4">
      <c r="C50" t="s">
        <v>286</v>
      </c>
      <c r="D50" t="s">
        <v>286</v>
      </c>
    </row>
    <row r="51" spans="3:4">
      <c r="C51" t="s">
        <v>286</v>
      </c>
      <c r="D51" t="s">
        <v>286</v>
      </c>
    </row>
    <row r="52" spans="3:4">
      <c r="C52" t="s">
        <v>286</v>
      </c>
      <c r="D52" t="s">
        <v>286</v>
      </c>
    </row>
    <row r="53" spans="3:4">
      <c r="C53" t="s">
        <v>286</v>
      </c>
      <c r="D53" t="s">
        <v>286</v>
      </c>
    </row>
    <row r="54" spans="3:4">
      <c r="C54" t="s">
        <v>286</v>
      </c>
      <c r="D54" t="s">
        <v>286</v>
      </c>
    </row>
    <row r="55" spans="3:4">
      <c r="C55" t="s">
        <v>286</v>
      </c>
      <c r="D55" t="s">
        <v>286</v>
      </c>
    </row>
    <row r="56" spans="3:4">
      <c r="C56" t="s">
        <v>286</v>
      </c>
      <c r="D56" t="s">
        <v>286</v>
      </c>
    </row>
    <row r="57" spans="3:4">
      <c r="C57" t="s">
        <v>286</v>
      </c>
      <c r="D57" t="s">
        <v>286</v>
      </c>
    </row>
    <row r="58" spans="3:4">
      <c r="C58" t="s">
        <v>286</v>
      </c>
      <c r="D58" t="s">
        <v>286</v>
      </c>
    </row>
    <row r="59" spans="3:4">
      <c r="C59" t="s">
        <v>286</v>
      </c>
      <c r="D59" t="s">
        <v>286</v>
      </c>
    </row>
    <row r="60" spans="3:4">
      <c r="C60" t="s">
        <v>286</v>
      </c>
      <c r="D60" t="s">
        <v>286</v>
      </c>
    </row>
    <row r="61" spans="3:4">
      <c r="C61" t="s">
        <v>286</v>
      </c>
      <c r="D61" t="s">
        <v>286</v>
      </c>
    </row>
    <row r="62" spans="3:4">
      <c r="C62" t="s">
        <v>286</v>
      </c>
      <c r="D62" t="s">
        <v>286</v>
      </c>
    </row>
    <row r="63" spans="3:4">
      <c r="C63" t="s">
        <v>286</v>
      </c>
      <c r="D63" t="s">
        <v>286</v>
      </c>
    </row>
    <row r="64" spans="3:4">
      <c r="C64" t="s">
        <v>286</v>
      </c>
      <c r="D64" t="s">
        <v>286</v>
      </c>
    </row>
    <row r="65" spans="3:4">
      <c r="C65" t="s">
        <v>286</v>
      </c>
      <c r="D65" t="s">
        <v>286</v>
      </c>
    </row>
  </sheetData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284</v>
      </c>
      <c r="D7" t="s">
        <v>284</v>
      </c>
    </row>
    <row r="8" spans="3:4">
      <c r="C8" t="s">
        <v>284</v>
      </c>
      <c r="D8" t="s">
        <v>284</v>
      </c>
    </row>
    <row r="9" spans="3:4">
      <c r="C9" t="s">
        <v>284</v>
      </c>
      <c r="D9" t="s">
        <v>284</v>
      </c>
    </row>
    <row r="10" spans="3:4">
      <c r="C10" t="s">
        <v>284</v>
      </c>
      <c r="D10" t="s">
        <v>284</v>
      </c>
    </row>
    <row r="11" spans="3:4">
      <c r="C11" t="s">
        <v>284</v>
      </c>
      <c r="D11" t="s">
        <v>284</v>
      </c>
    </row>
    <row r="12" spans="3:4">
      <c r="C12" t="s">
        <v>284</v>
      </c>
      <c r="D12" t="s">
        <v>284</v>
      </c>
    </row>
    <row r="13" spans="3:4">
      <c r="C13" t="s">
        <v>284</v>
      </c>
      <c r="D13" t="s">
        <v>284</v>
      </c>
    </row>
    <row r="14" spans="3:4">
      <c r="C14" t="s">
        <v>284</v>
      </c>
      <c r="D14" t="s">
        <v>284</v>
      </c>
    </row>
    <row r="15" spans="3:4">
      <c r="C15" t="s">
        <v>284</v>
      </c>
      <c r="D15" t="s">
        <v>284</v>
      </c>
    </row>
    <row r="16" spans="3:4">
      <c r="C16" t="s">
        <v>284</v>
      </c>
      <c r="D16" t="s">
        <v>284</v>
      </c>
    </row>
    <row r="17" spans="3:4">
      <c r="C17" t="s">
        <v>284</v>
      </c>
      <c r="D17" t="s">
        <v>284</v>
      </c>
    </row>
    <row r="18" spans="3:4">
      <c r="C18" t="s">
        <v>284</v>
      </c>
      <c r="D18" t="s">
        <v>284</v>
      </c>
    </row>
    <row r="19" spans="3:4">
      <c r="C19" t="s">
        <v>284</v>
      </c>
      <c r="D19" t="s">
        <v>284</v>
      </c>
    </row>
    <row r="20" spans="3:4">
      <c r="C20" t="s">
        <v>284</v>
      </c>
      <c r="D20" t="s">
        <v>284</v>
      </c>
    </row>
    <row r="21" spans="3:4">
      <c r="C21" t="s">
        <v>284</v>
      </c>
      <c r="D21" t="s">
        <v>284</v>
      </c>
    </row>
    <row r="22" spans="3:4">
      <c r="C22" t="s">
        <v>284</v>
      </c>
      <c r="D22" t="s">
        <v>284</v>
      </c>
    </row>
    <row r="23" spans="3:4">
      <c r="C23" t="s">
        <v>284</v>
      </c>
      <c r="D23" t="s">
        <v>284</v>
      </c>
    </row>
    <row r="24" spans="3:4">
      <c r="C24" t="s">
        <v>284</v>
      </c>
      <c r="D24" t="s">
        <v>284</v>
      </c>
    </row>
    <row r="25" spans="3:4">
      <c r="C25" t="s">
        <v>284</v>
      </c>
      <c r="D25" t="s">
        <v>284</v>
      </c>
    </row>
    <row r="26" spans="3:4">
      <c r="C26" t="s">
        <v>284</v>
      </c>
      <c r="D26" t="s">
        <v>284</v>
      </c>
    </row>
    <row r="27" spans="3:4">
      <c r="C27" t="s">
        <v>284</v>
      </c>
      <c r="D27" t="s">
        <v>284</v>
      </c>
    </row>
    <row r="28" spans="3:4">
      <c r="C28" t="s">
        <v>284</v>
      </c>
      <c r="D28" t="s">
        <v>284</v>
      </c>
    </row>
    <row r="29" spans="3:4">
      <c r="C29" t="s">
        <v>284</v>
      </c>
      <c r="D29" t="s">
        <v>284</v>
      </c>
    </row>
    <row r="30" spans="3:4">
      <c r="C30" t="s">
        <v>284</v>
      </c>
      <c r="D30" t="s">
        <v>284</v>
      </c>
    </row>
    <row r="31" spans="3:4">
      <c r="C31" t="s">
        <v>284</v>
      </c>
      <c r="D31" t="s">
        <v>284</v>
      </c>
    </row>
    <row r="32" spans="3:4">
      <c r="C32" t="s">
        <v>284</v>
      </c>
      <c r="D32" t="s">
        <v>284</v>
      </c>
    </row>
    <row r="33" spans="3:4">
      <c r="C33" t="s">
        <v>284</v>
      </c>
      <c r="D33" t="s">
        <v>284</v>
      </c>
    </row>
    <row r="34" spans="3:4">
      <c r="C34" t="s">
        <v>284</v>
      </c>
      <c r="D34" t="s">
        <v>284</v>
      </c>
    </row>
    <row r="35" spans="3:4">
      <c r="C35" t="s">
        <v>284</v>
      </c>
      <c r="D35" t="s">
        <v>284</v>
      </c>
    </row>
    <row r="36" spans="3:4">
      <c r="C36" t="s">
        <v>284</v>
      </c>
      <c r="D36" t="s">
        <v>284</v>
      </c>
    </row>
    <row r="37" spans="3:4">
      <c r="C37" t="s">
        <v>284</v>
      </c>
      <c r="D37" t="s">
        <v>284</v>
      </c>
    </row>
    <row r="38" spans="3:4">
      <c r="C38" t="s">
        <v>284</v>
      </c>
      <c r="D38" t="s">
        <v>284</v>
      </c>
    </row>
    <row r="39" spans="3:4">
      <c r="C39" t="s">
        <v>284</v>
      </c>
      <c r="D39" t="s">
        <v>284</v>
      </c>
    </row>
    <row r="40" spans="3:4">
      <c r="C40" t="s">
        <v>284</v>
      </c>
      <c r="D40" t="s">
        <v>284</v>
      </c>
    </row>
    <row r="41" spans="3:4">
      <c r="C41" t="s">
        <v>284</v>
      </c>
      <c r="D41" t="s">
        <v>284</v>
      </c>
    </row>
    <row r="42" spans="3:4">
      <c r="C42" t="s">
        <v>284</v>
      </c>
      <c r="D42" t="s">
        <v>284</v>
      </c>
    </row>
    <row r="43" spans="3:4">
      <c r="C43" t="s">
        <v>284</v>
      </c>
      <c r="D43" t="s">
        <v>284</v>
      </c>
    </row>
    <row r="44" spans="3:4">
      <c r="C44" t="s">
        <v>284</v>
      </c>
      <c r="D44" t="s">
        <v>284</v>
      </c>
    </row>
    <row r="45" spans="3:4">
      <c r="C45" t="s">
        <v>284</v>
      </c>
      <c r="D45" t="s">
        <v>284</v>
      </c>
    </row>
    <row r="46" spans="3:4">
      <c r="C46" t="s">
        <v>284</v>
      </c>
      <c r="D46" t="s">
        <v>284</v>
      </c>
    </row>
    <row r="47" spans="3:4">
      <c r="C47" t="s">
        <v>284</v>
      </c>
      <c r="D47" t="s">
        <v>284</v>
      </c>
    </row>
    <row r="48" spans="3:4">
      <c r="C48" t="s">
        <v>284</v>
      </c>
      <c r="D48" t="s">
        <v>284</v>
      </c>
    </row>
    <row r="49" spans="3:4">
      <c r="C49" t="s">
        <v>284</v>
      </c>
      <c r="D49" t="s">
        <v>284</v>
      </c>
    </row>
    <row r="50" spans="3:4">
      <c r="C50" t="s">
        <v>284</v>
      </c>
      <c r="D50" t="s">
        <v>284</v>
      </c>
    </row>
    <row r="51" spans="3:4">
      <c r="C51" t="s">
        <v>284</v>
      </c>
      <c r="D51" t="s">
        <v>284</v>
      </c>
    </row>
    <row r="52" spans="3:4">
      <c r="C52" t="s">
        <v>284</v>
      </c>
      <c r="D52" t="s">
        <v>284</v>
      </c>
    </row>
    <row r="53" spans="3:4">
      <c r="C53" t="s">
        <v>284</v>
      </c>
      <c r="D53" t="s">
        <v>284</v>
      </c>
    </row>
    <row r="54" spans="3:4">
      <c r="C54" t="s">
        <v>284</v>
      </c>
      <c r="D54" t="s">
        <v>284</v>
      </c>
    </row>
    <row r="55" spans="3:4">
      <c r="C55" t="s">
        <v>284</v>
      </c>
      <c r="D55" t="s">
        <v>284</v>
      </c>
    </row>
    <row r="56" spans="3:4">
      <c r="C56" t="s">
        <v>284</v>
      </c>
      <c r="D56" t="s">
        <v>284</v>
      </c>
    </row>
    <row r="57" spans="3:4">
      <c r="C57" t="s">
        <v>284</v>
      </c>
      <c r="D57" t="s">
        <v>284</v>
      </c>
    </row>
    <row r="58" spans="3:4">
      <c r="C58" t="s">
        <v>284</v>
      </c>
      <c r="D58" t="s">
        <v>284</v>
      </c>
    </row>
    <row r="59" spans="3:4">
      <c r="C59" t="s">
        <v>284</v>
      </c>
      <c r="D59" t="s">
        <v>284</v>
      </c>
    </row>
    <row r="60" spans="3:4">
      <c r="C60" t="s">
        <v>284</v>
      </c>
      <c r="D60" t="s">
        <v>284</v>
      </c>
    </row>
    <row r="61" spans="3:4">
      <c r="C61" t="s">
        <v>284</v>
      </c>
      <c r="D61" t="s">
        <v>284</v>
      </c>
    </row>
    <row r="62" spans="3:4">
      <c r="C62" t="s">
        <v>284</v>
      </c>
      <c r="D62" t="s">
        <v>284</v>
      </c>
    </row>
    <row r="63" spans="3:4">
      <c r="C63" t="s">
        <v>284</v>
      </c>
      <c r="D63" t="s">
        <v>284</v>
      </c>
    </row>
    <row r="64" spans="3:4">
      <c r="C64" t="s">
        <v>284</v>
      </c>
      <c r="D64" t="s">
        <v>284</v>
      </c>
    </row>
    <row r="65" spans="3:4">
      <c r="C65" t="s">
        <v>284</v>
      </c>
      <c r="D65" t="s">
        <v>284</v>
      </c>
    </row>
  </sheetData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283</v>
      </c>
      <c r="D7" t="s">
        <v>283</v>
      </c>
    </row>
    <row r="8" spans="3:4">
      <c r="C8" t="s">
        <v>283</v>
      </c>
      <c r="D8" t="s">
        <v>283</v>
      </c>
    </row>
    <row r="9" spans="3:4">
      <c r="C9" t="s">
        <v>283</v>
      </c>
      <c r="D9" t="s">
        <v>283</v>
      </c>
    </row>
    <row r="10" spans="3:4">
      <c r="C10" t="s">
        <v>283</v>
      </c>
      <c r="D10" t="s">
        <v>283</v>
      </c>
    </row>
    <row r="11" spans="3:4">
      <c r="C11" t="s">
        <v>283</v>
      </c>
      <c r="D11" t="s">
        <v>283</v>
      </c>
    </row>
    <row r="12" spans="3:4">
      <c r="C12" t="s">
        <v>283</v>
      </c>
      <c r="D12" t="s">
        <v>283</v>
      </c>
    </row>
    <row r="13" spans="3:4">
      <c r="C13" t="s">
        <v>283</v>
      </c>
      <c r="D13" t="s">
        <v>283</v>
      </c>
    </row>
    <row r="14" spans="3:4">
      <c r="C14" t="s">
        <v>283</v>
      </c>
      <c r="D14" t="s">
        <v>283</v>
      </c>
    </row>
    <row r="15" spans="3:4">
      <c r="C15" t="s">
        <v>283</v>
      </c>
      <c r="D15" t="s">
        <v>283</v>
      </c>
    </row>
    <row r="16" spans="3:4">
      <c r="C16" t="s">
        <v>283</v>
      </c>
      <c r="D16" t="s">
        <v>283</v>
      </c>
    </row>
    <row r="17" spans="3:4">
      <c r="C17" t="s">
        <v>283</v>
      </c>
      <c r="D17" t="s">
        <v>283</v>
      </c>
    </row>
    <row r="18" spans="3:4">
      <c r="C18" t="s">
        <v>283</v>
      </c>
      <c r="D18" t="s">
        <v>283</v>
      </c>
    </row>
    <row r="19" spans="3:4">
      <c r="C19" t="s">
        <v>283</v>
      </c>
      <c r="D19" t="s">
        <v>283</v>
      </c>
    </row>
    <row r="20" spans="3:4">
      <c r="C20" t="s">
        <v>283</v>
      </c>
      <c r="D20" t="s">
        <v>283</v>
      </c>
    </row>
    <row r="21" spans="3:4">
      <c r="C21" t="s">
        <v>283</v>
      </c>
      <c r="D21" t="s">
        <v>283</v>
      </c>
    </row>
    <row r="22" spans="3:4">
      <c r="C22" t="s">
        <v>283</v>
      </c>
      <c r="D22" t="s">
        <v>283</v>
      </c>
    </row>
    <row r="23" spans="3:4">
      <c r="C23" t="s">
        <v>283</v>
      </c>
      <c r="D23" t="s">
        <v>283</v>
      </c>
    </row>
    <row r="24" spans="3:4">
      <c r="C24" t="s">
        <v>283</v>
      </c>
      <c r="D24" t="s">
        <v>283</v>
      </c>
    </row>
    <row r="25" spans="3:4">
      <c r="C25" t="s">
        <v>283</v>
      </c>
      <c r="D25" t="s">
        <v>283</v>
      </c>
    </row>
    <row r="26" spans="3:4">
      <c r="C26" t="s">
        <v>283</v>
      </c>
      <c r="D26" t="s">
        <v>283</v>
      </c>
    </row>
    <row r="27" spans="3:4">
      <c r="C27" t="s">
        <v>283</v>
      </c>
      <c r="D27" t="s">
        <v>283</v>
      </c>
    </row>
    <row r="28" spans="3:4">
      <c r="C28" t="s">
        <v>283</v>
      </c>
      <c r="D28" t="s">
        <v>283</v>
      </c>
    </row>
    <row r="29" spans="3:4">
      <c r="C29" t="s">
        <v>283</v>
      </c>
      <c r="D29" t="s">
        <v>283</v>
      </c>
    </row>
    <row r="30" spans="3:4">
      <c r="C30" t="s">
        <v>283</v>
      </c>
      <c r="D30" t="s">
        <v>283</v>
      </c>
    </row>
    <row r="31" spans="3:4">
      <c r="C31" t="s">
        <v>283</v>
      </c>
      <c r="D31" t="s">
        <v>283</v>
      </c>
    </row>
    <row r="32" spans="3:4">
      <c r="C32" t="s">
        <v>283</v>
      </c>
      <c r="D32" t="s">
        <v>283</v>
      </c>
    </row>
    <row r="33" spans="3:4">
      <c r="C33" t="s">
        <v>283</v>
      </c>
      <c r="D33" t="s">
        <v>283</v>
      </c>
    </row>
    <row r="34" spans="3:4">
      <c r="C34" t="s">
        <v>283</v>
      </c>
      <c r="D34" t="s">
        <v>283</v>
      </c>
    </row>
    <row r="35" spans="3:4">
      <c r="C35" t="s">
        <v>283</v>
      </c>
      <c r="D35" t="s">
        <v>283</v>
      </c>
    </row>
    <row r="36" spans="3:4">
      <c r="C36" t="s">
        <v>283</v>
      </c>
      <c r="D36" t="s">
        <v>283</v>
      </c>
    </row>
    <row r="37" spans="3:4">
      <c r="C37" t="s">
        <v>283</v>
      </c>
      <c r="D37" t="s">
        <v>283</v>
      </c>
    </row>
    <row r="38" spans="3:4">
      <c r="C38" t="s">
        <v>283</v>
      </c>
      <c r="D38" t="s">
        <v>283</v>
      </c>
    </row>
    <row r="39" spans="3:4">
      <c r="C39" t="s">
        <v>283</v>
      </c>
      <c r="D39" t="s">
        <v>283</v>
      </c>
    </row>
    <row r="40" spans="3:4">
      <c r="C40" t="s">
        <v>283</v>
      </c>
      <c r="D40" t="s">
        <v>283</v>
      </c>
    </row>
    <row r="41" spans="3:4">
      <c r="C41" t="s">
        <v>283</v>
      </c>
      <c r="D41" t="s">
        <v>283</v>
      </c>
    </row>
    <row r="42" spans="3:4">
      <c r="C42" t="s">
        <v>283</v>
      </c>
      <c r="D42" t="s">
        <v>283</v>
      </c>
    </row>
    <row r="43" spans="3:4">
      <c r="C43" t="s">
        <v>283</v>
      </c>
      <c r="D43" t="s">
        <v>283</v>
      </c>
    </row>
    <row r="44" spans="3:4">
      <c r="C44" t="s">
        <v>283</v>
      </c>
      <c r="D44" t="s">
        <v>283</v>
      </c>
    </row>
    <row r="45" spans="3:4">
      <c r="C45" t="s">
        <v>283</v>
      </c>
      <c r="D45" t="s">
        <v>283</v>
      </c>
    </row>
    <row r="46" spans="3:4">
      <c r="C46" t="s">
        <v>283</v>
      </c>
      <c r="D46" t="s">
        <v>283</v>
      </c>
    </row>
    <row r="47" spans="3:4">
      <c r="C47" t="s">
        <v>283</v>
      </c>
      <c r="D47" t="s">
        <v>283</v>
      </c>
    </row>
    <row r="48" spans="3:4">
      <c r="C48" t="s">
        <v>283</v>
      </c>
      <c r="D48" t="s">
        <v>283</v>
      </c>
    </row>
    <row r="49" spans="3:4">
      <c r="C49" t="s">
        <v>283</v>
      </c>
      <c r="D49" t="s">
        <v>283</v>
      </c>
    </row>
    <row r="50" spans="3:4">
      <c r="C50" t="s">
        <v>283</v>
      </c>
      <c r="D50" t="s">
        <v>283</v>
      </c>
    </row>
    <row r="51" spans="3:4">
      <c r="C51" t="s">
        <v>283</v>
      </c>
      <c r="D51" t="s">
        <v>283</v>
      </c>
    </row>
    <row r="52" spans="3:4">
      <c r="C52" t="s">
        <v>283</v>
      </c>
      <c r="D52" t="s">
        <v>283</v>
      </c>
    </row>
    <row r="53" spans="3:4">
      <c r="C53" t="s">
        <v>283</v>
      </c>
      <c r="D53" t="s">
        <v>283</v>
      </c>
    </row>
    <row r="54" spans="3:4">
      <c r="C54" t="s">
        <v>283</v>
      </c>
      <c r="D54" t="s">
        <v>283</v>
      </c>
    </row>
    <row r="55" spans="3:4">
      <c r="C55" t="s">
        <v>283</v>
      </c>
      <c r="D55" t="s">
        <v>283</v>
      </c>
    </row>
    <row r="56" spans="3:4">
      <c r="C56" t="s">
        <v>283</v>
      </c>
      <c r="D56" t="s">
        <v>283</v>
      </c>
    </row>
    <row r="57" spans="3:4">
      <c r="C57" t="s">
        <v>283</v>
      </c>
      <c r="D57" t="s">
        <v>283</v>
      </c>
    </row>
    <row r="58" spans="3:4">
      <c r="C58" t="s">
        <v>283</v>
      </c>
      <c r="D58" t="s">
        <v>283</v>
      </c>
    </row>
    <row r="59" spans="3:4">
      <c r="C59" t="s">
        <v>283</v>
      </c>
      <c r="D59" t="s">
        <v>283</v>
      </c>
    </row>
    <row r="60" spans="3:4">
      <c r="C60" t="s">
        <v>283</v>
      </c>
      <c r="D60" t="s">
        <v>283</v>
      </c>
    </row>
    <row r="61" spans="3:4">
      <c r="C61" t="s">
        <v>283</v>
      </c>
      <c r="D61" t="s">
        <v>283</v>
      </c>
    </row>
    <row r="62" spans="3:4">
      <c r="C62" t="s">
        <v>283</v>
      </c>
      <c r="D62" t="s">
        <v>283</v>
      </c>
    </row>
    <row r="63" spans="3:4">
      <c r="C63" t="s">
        <v>283</v>
      </c>
      <c r="D63" t="s">
        <v>283</v>
      </c>
    </row>
    <row r="64" spans="3:4">
      <c r="C64" t="s">
        <v>283</v>
      </c>
      <c r="D64" t="s">
        <v>283</v>
      </c>
    </row>
    <row r="65" spans="3:4">
      <c r="C65" t="s">
        <v>283</v>
      </c>
      <c r="D65" t="s">
        <v>283</v>
      </c>
    </row>
  </sheetData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281</v>
      </c>
      <c r="D7" t="s">
        <v>281</v>
      </c>
    </row>
    <row r="8" spans="3:4">
      <c r="C8" t="s">
        <v>281</v>
      </c>
      <c r="D8" t="s">
        <v>281</v>
      </c>
    </row>
    <row r="9" spans="3:4">
      <c r="C9" t="s">
        <v>281</v>
      </c>
      <c r="D9" t="s">
        <v>281</v>
      </c>
    </row>
    <row r="10" spans="3:4">
      <c r="C10" t="s">
        <v>281</v>
      </c>
      <c r="D10" t="s">
        <v>281</v>
      </c>
    </row>
    <row r="11" spans="3:4">
      <c r="C11" t="s">
        <v>281</v>
      </c>
      <c r="D11" t="s">
        <v>281</v>
      </c>
    </row>
    <row r="12" spans="3:4">
      <c r="C12" t="s">
        <v>281</v>
      </c>
      <c r="D12" t="s">
        <v>281</v>
      </c>
    </row>
    <row r="13" spans="3:4">
      <c r="C13" t="s">
        <v>281</v>
      </c>
      <c r="D13" t="s">
        <v>281</v>
      </c>
    </row>
    <row r="14" spans="3:4">
      <c r="C14" t="s">
        <v>281</v>
      </c>
      <c r="D14" t="s">
        <v>281</v>
      </c>
    </row>
    <row r="15" spans="3:4">
      <c r="C15" t="s">
        <v>281</v>
      </c>
      <c r="D15" t="s">
        <v>281</v>
      </c>
    </row>
    <row r="16" spans="3:4">
      <c r="C16" t="s">
        <v>281</v>
      </c>
      <c r="D16" t="s">
        <v>281</v>
      </c>
    </row>
    <row r="17" spans="3:4">
      <c r="C17" t="s">
        <v>281</v>
      </c>
      <c r="D17" t="s">
        <v>281</v>
      </c>
    </row>
    <row r="18" spans="3:4">
      <c r="C18" t="s">
        <v>281</v>
      </c>
      <c r="D18" t="s">
        <v>281</v>
      </c>
    </row>
    <row r="19" spans="3:4">
      <c r="C19" t="s">
        <v>281</v>
      </c>
      <c r="D19" t="s">
        <v>281</v>
      </c>
    </row>
    <row r="20" spans="3:4">
      <c r="C20" t="s">
        <v>281</v>
      </c>
      <c r="D20" t="s">
        <v>281</v>
      </c>
    </row>
    <row r="21" spans="3:4">
      <c r="C21" t="s">
        <v>281</v>
      </c>
      <c r="D21" t="s">
        <v>281</v>
      </c>
    </row>
    <row r="22" spans="3:4">
      <c r="C22" t="s">
        <v>281</v>
      </c>
      <c r="D22" t="s">
        <v>281</v>
      </c>
    </row>
    <row r="23" spans="3:4">
      <c r="C23" t="s">
        <v>281</v>
      </c>
      <c r="D23" t="s">
        <v>281</v>
      </c>
    </row>
    <row r="24" spans="3:4">
      <c r="C24" t="s">
        <v>281</v>
      </c>
      <c r="D24" t="s">
        <v>281</v>
      </c>
    </row>
    <row r="25" spans="3:4">
      <c r="C25" t="s">
        <v>281</v>
      </c>
      <c r="D25" t="s">
        <v>281</v>
      </c>
    </row>
    <row r="26" spans="3:4">
      <c r="C26" t="s">
        <v>281</v>
      </c>
      <c r="D26" t="s">
        <v>281</v>
      </c>
    </row>
    <row r="27" spans="3:4">
      <c r="C27" t="s">
        <v>281</v>
      </c>
      <c r="D27" t="s">
        <v>281</v>
      </c>
    </row>
    <row r="28" spans="3:4">
      <c r="C28" t="s">
        <v>281</v>
      </c>
      <c r="D28" t="s">
        <v>281</v>
      </c>
    </row>
    <row r="29" spans="3:4">
      <c r="C29" t="s">
        <v>281</v>
      </c>
      <c r="D29" t="s">
        <v>281</v>
      </c>
    </row>
    <row r="30" spans="3:4">
      <c r="C30" t="s">
        <v>281</v>
      </c>
      <c r="D30" t="s">
        <v>281</v>
      </c>
    </row>
    <row r="31" spans="3:4">
      <c r="C31" t="s">
        <v>281</v>
      </c>
      <c r="D31" t="s">
        <v>281</v>
      </c>
    </row>
    <row r="32" spans="3:4">
      <c r="C32" t="s">
        <v>281</v>
      </c>
      <c r="D32" t="s">
        <v>281</v>
      </c>
    </row>
    <row r="33" spans="3:4">
      <c r="C33" t="s">
        <v>281</v>
      </c>
      <c r="D33" t="s">
        <v>281</v>
      </c>
    </row>
    <row r="34" spans="3:4">
      <c r="C34" t="s">
        <v>281</v>
      </c>
      <c r="D34" t="s">
        <v>281</v>
      </c>
    </row>
    <row r="35" spans="3:4">
      <c r="C35" t="s">
        <v>281</v>
      </c>
      <c r="D35" t="s">
        <v>281</v>
      </c>
    </row>
    <row r="36" spans="3:4">
      <c r="C36" t="s">
        <v>281</v>
      </c>
      <c r="D36" t="s">
        <v>281</v>
      </c>
    </row>
    <row r="37" spans="3:4">
      <c r="C37" t="s">
        <v>281</v>
      </c>
      <c r="D37" t="s">
        <v>281</v>
      </c>
    </row>
    <row r="38" spans="3:4">
      <c r="C38" t="s">
        <v>281</v>
      </c>
      <c r="D38" t="s">
        <v>281</v>
      </c>
    </row>
    <row r="39" spans="3:4">
      <c r="C39" t="s">
        <v>281</v>
      </c>
      <c r="D39" t="s">
        <v>281</v>
      </c>
    </row>
    <row r="40" spans="3:4">
      <c r="C40" t="s">
        <v>281</v>
      </c>
      <c r="D40" t="s">
        <v>281</v>
      </c>
    </row>
    <row r="41" spans="3:4">
      <c r="C41" t="s">
        <v>281</v>
      </c>
      <c r="D41" t="s">
        <v>281</v>
      </c>
    </row>
    <row r="42" spans="3:4">
      <c r="C42" t="s">
        <v>281</v>
      </c>
      <c r="D42" t="s">
        <v>281</v>
      </c>
    </row>
    <row r="43" spans="3:4">
      <c r="C43" t="s">
        <v>281</v>
      </c>
      <c r="D43" t="s">
        <v>281</v>
      </c>
    </row>
    <row r="44" spans="3:4">
      <c r="C44" t="s">
        <v>281</v>
      </c>
      <c r="D44" t="s">
        <v>281</v>
      </c>
    </row>
    <row r="45" spans="3:4">
      <c r="C45" t="s">
        <v>281</v>
      </c>
      <c r="D45" t="s">
        <v>281</v>
      </c>
    </row>
    <row r="46" spans="3:4">
      <c r="C46" t="s">
        <v>281</v>
      </c>
      <c r="D46" t="s">
        <v>281</v>
      </c>
    </row>
    <row r="47" spans="3:4">
      <c r="C47" t="s">
        <v>281</v>
      </c>
      <c r="D47" t="s">
        <v>281</v>
      </c>
    </row>
    <row r="48" spans="3:4">
      <c r="C48" t="s">
        <v>281</v>
      </c>
      <c r="D48" t="s">
        <v>281</v>
      </c>
    </row>
    <row r="49" spans="3:4">
      <c r="C49" t="s">
        <v>281</v>
      </c>
      <c r="D49" t="s">
        <v>281</v>
      </c>
    </row>
    <row r="50" spans="3:4">
      <c r="C50" t="s">
        <v>281</v>
      </c>
      <c r="D50" t="s">
        <v>281</v>
      </c>
    </row>
    <row r="51" spans="3:4">
      <c r="C51" t="s">
        <v>281</v>
      </c>
      <c r="D51" t="s">
        <v>281</v>
      </c>
    </row>
    <row r="52" spans="3:4">
      <c r="C52" t="s">
        <v>281</v>
      </c>
      <c r="D52" t="s">
        <v>281</v>
      </c>
    </row>
    <row r="53" spans="3:4">
      <c r="C53" t="s">
        <v>281</v>
      </c>
      <c r="D53" t="s">
        <v>281</v>
      </c>
    </row>
    <row r="54" spans="3:4">
      <c r="C54" t="s">
        <v>281</v>
      </c>
      <c r="D54" t="s">
        <v>281</v>
      </c>
    </row>
    <row r="55" spans="3:4">
      <c r="C55" t="s">
        <v>281</v>
      </c>
      <c r="D55" t="s">
        <v>281</v>
      </c>
    </row>
    <row r="56" spans="3:4">
      <c r="C56" t="s">
        <v>281</v>
      </c>
      <c r="D56" t="s">
        <v>281</v>
      </c>
    </row>
    <row r="57" spans="3:4">
      <c r="C57" t="s">
        <v>281</v>
      </c>
      <c r="D57" t="s">
        <v>281</v>
      </c>
    </row>
    <row r="58" spans="3:4">
      <c r="C58" t="s">
        <v>281</v>
      </c>
      <c r="D58" t="s">
        <v>281</v>
      </c>
    </row>
    <row r="59" spans="3:4">
      <c r="C59" t="s">
        <v>281</v>
      </c>
      <c r="D59" t="s">
        <v>281</v>
      </c>
    </row>
    <row r="60" spans="3:4">
      <c r="C60" t="s">
        <v>281</v>
      </c>
      <c r="D60" t="s">
        <v>281</v>
      </c>
    </row>
    <row r="61" spans="3:4">
      <c r="C61" t="s">
        <v>281</v>
      </c>
      <c r="D61" t="s">
        <v>281</v>
      </c>
    </row>
    <row r="62" spans="3:4">
      <c r="C62" t="s">
        <v>281</v>
      </c>
      <c r="D62" t="s">
        <v>281</v>
      </c>
    </row>
    <row r="63" spans="3:4">
      <c r="C63" t="s">
        <v>281</v>
      </c>
      <c r="D63" t="s">
        <v>281</v>
      </c>
    </row>
    <row r="64" spans="3:4">
      <c r="C64" t="s">
        <v>281</v>
      </c>
      <c r="D64" t="s">
        <v>281</v>
      </c>
    </row>
    <row r="65" spans="3:4">
      <c r="C65" t="s">
        <v>281</v>
      </c>
      <c r="D65" t="s">
        <v>281</v>
      </c>
    </row>
  </sheetData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280</v>
      </c>
      <c r="D7" t="s">
        <v>280</v>
      </c>
    </row>
    <row r="8" spans="3:4">
      <c r="C8" t="s">
        <v>280</v>
      </c>
      <c r="D8" t="s">
        <v>280</v>
      </c>
    </row>
    <row r="9" spans="3:4">
      <c r="C9" t="s">
        <v>280</v>
      </c>
      <c r="D9" t="s">
        <v>280</v>
      </c>
    </row>
    <row r="10" spans="3:4">
      <c r="C10" t="s">
        <v>280</v>
      </c>
      <c r="D10" t="s">
        <v>280</v>
      </c>
    </row>
    <row r="11" spans="3:4">
      <c r="C11" t="s">
        <v>280</v>
      </c>
      <c r="D11" t="s">
        <v>280</v>
      </c>
    </row>
    <row r="12" spans="3:4">
      <c r="C12" t="s">
        <v>280</v>
      </c>
      <c r="D12" t="s">
        <v>280</v>
      </c>
    </row>
    <row r="13" spans="3:4">
      <c r="C13" t="s">
        <v>280</v>
      </c>
      <c r="D13" t="s">
        <v>280</v>
      </c>
    </row>
    <row r="14" spans="3:4">
      <c r="C14" t="s">
        <v>280</v>
      </c>
      <c r="D14" t="s">
        <v>280</v>
      </c>
    </row>
    <row r="15" spans="3:4">
      <c r="C15" t="s">
        <v>280</v>
      </c>
      <c r="D15" t="s">
        <v>280</v>
      </c>
    </row>
    <row r="16" spans="3:4">
      <c r="C16" t="s">
        <v>280</v>
      </c>
      <c r="D16" t="s">
        <v>280</v>
      </c>
    </row>
    <row r="17" spans="3:4">
      <c r="C17" t="s">
        <v>280</v>
      </c>
      <c r="D17" t="s">
        <v>280</v>
      </c>
    </row>
    <row r="18" spans="3:4">
      <c r="C18" t="s">
        <v>280</v>
      </c>
      <c r="D18" t="s">
        <v>280</v>
      </c>
    </row>
    <row r="19" spans="3:4">
      <c r="C19" t="s">
        <v>280</v>
      </c>
      <c r="D19" t="s">
        <v>280</v>
      </c>
    </row>
    <row r="20" spans="3:4">
      <c r="C20" t="s">
        <v>280</v>
      </c>
      <c r="D20" t="s">
        <v>280</v>
      </c>
    </row>
    <row r="21" spans="3:4">
      <c r="C21" t="s">
        <v>280</v>
      </c>
      <c r="D21" t="s">
        <v>280</v>
      </c>
    </row>
    <row r="22" spans="3:4">
      <c r="C22" t="s">
        <v>280</v>
      </c>
      <c r="D22" t="s">
        <v>280</v>
      </c>
    </row>
    <row r="23" spans="3:4">
      <c r="C23" t="s">
        <v>280</v>
      </c>
      <c r="D23" t="s">
        <v>280</v>
      </c>
    </row>
    <row r="24" spans="3:4">
      <c r="C24" t="s">
        <v>280</v>
      </c>
      <c r="D24" t="s">
        <v>280</v>
      </c>
    </row>
    <row r="25" spans="3:4">
      <c r="C25" t="s">
        <v>280</v>
      </c>
      <c r="D25" t="s">
        <v>280</v>
      </c>
    </row>
    <row r="26" spans="3:4">
      <c r="C26" t="s">
        <v>280</v>
      </c>
      <c r="D26" t="s">
        <v>280</v>
      </c>
    </row>
    <row r="27" spans="3:4">
      <c r="C27" t="s">
        <v>280</v>
      </c>
      <c r="D27" t="s">
        <v>280</v>
      </c>
    </row>
    <row r="28" spans="3:4">
      <c r="C28" t="s">
        <v>280</v>
      </c>
      <c r="D28" t="s">
        <v>280</v>
      </c>
    </row>
    <row r="29" spans="3:4">
      <c r="C29" t="s">
        <v>280</v>
      </c>
      <c r="D29" t="s">
        <v>280</v>
      </c>
    </row>
    <row r="30" spans="3:4">
      <c r="C30" t="s">
        <v>280</v>
      </c>
      <c r="D30" t="s">
        <v>280</v>
      </c>
    </row>
    <row r="31" spans="3:4">
      <c r="C31" t="s">
        <v>280</v>
      </c>
      <c r="D31" t="s">
        <v>280</v>
      </c>
    </row>
    <row r="32" spans="3:4">
      <c r="C32" t="s">
        <v>280</v>
      </c>
      <c r="D32" t="s">
        <v>280</v>
      </c>
    </row>
    <row r="33" spans="3:4">
      <c r="C33" t="s">
        <v>280</v>
      </c>
      <c r="D33" t="s">
        <v>280</v>
      </c>
    </row>
    <row r="34" spans="3:4">
      <c r="C34" t="s">
        <v>280</v>
      </c>
      <c r="D34" t="s">
        <v>280</v>
      </c>
    </row>
    <row r="35" spans="3:4">
      <c r="C35" t="s">
        <v>280</v>
      </c>
      <c r="D35" t="s">
        <v>280</v>
      </c>
    </row>
    <row r="36" spans="3:4">
      <c r="C36" t="s">
        <v>280</v>
      </c>
      <c r="D36" t="s">
        <v>280</v>
      </c>
    </row>
    <row r="37" spans="3:4">
      <c r="C37" t="s">
        <v>280</v>
      </c>
      <c r="D37" t="s">
        <v>280</v>
      </c>
    </row>
    <row r="38" spans="3:4">
      <c r="C38" t="s">
        <v>280</v>
      </c>
      <c r="D38" t="s">
        <v>280</v>
      </c>
    </row>
    <row r="39" spans="3:4">
      <c r="C39" t="s">
        <v>280</v>
      </c>
      <c r="D39" t="s">
        <v>280</v>
      </c>
    </row>
    <row r="40" spans="3:4">
      <c r="C40" t="s">
        <v>280</v>
      </c>
      <c r="D40" t="s">
        <v>280</v>
      </c>
    </row>
    <row r="41" spans="3:4">
      <c r="C41" t="s">
        <v>280</v>
      </c>
      <c r="D41" t="s">
        <v>280</v>
      </c>
    </row>
    <row r="42" spans="3:4">
      <c r="C42" t="s">
        <v>280</v>
      </c>
      <c r="D42" t="s">
        <v>280</v>
      </c>
    </row>
    <row r="43" spans="3:4">
      <c r="C43" t="s">
        <v>280</v>
      </c>
      <c r="D43" t="s">
        <v>280</v>
      </c>
    </row>
    <row r="44" spans="3:4">
      <c r="C44" t="s">
        <v>280</v>
      </c>
      <c r="D44" t="s">
        <v>280</v>
      </c>
    </row>
    <row r="45" spans="3:4">
      <c r="C45" t="s">
        <v>280</v>
      </c>
      <c r="D45" t="s">
        <v>280</v>
      </c>
    </row>
    <row r="46" spans="3:4">
      <c r="C46" t="s">
        <v>280</v>
      </c>
      <c r="D46" t="s">
        <v>280</v>
      </c>
    </row>
    <row r="47" spans="3:4">
      <c r="C47" t="s">
        <v>280</v>
      </c>
      <c r="D47" t="s">
        <v>280</v>
      </c>
    </row>
    <row r="48" spans="3:4">
      <c r="C48" t="s">
        <v>280</v>
      </c>
      <c r="D48" t="s">
        <v>280</v>
      </c>
    </row>
    <row r="49" spans="3:4">
      <c r="C49" t="s">
        <v>280</v>
      </c>
      <c r="D49" t="s">
        <v>280</v>
      </c>
    </row>
    <row r="50" spans="3:4">
      <c r="C50" t="s">
        <v>280</v>
      </c>
      <c r="D50" t="s">
        <v>280</v>
      </c>
    </row>
    <row r="51" spans="3:4">
      <c r="C51" t="s">
        <v>280</v>
      </c>
      <c r="D51" t="s">
        <v>280</v>
      </c>
    </row>
    <row r="52" spans="3:4">
      <c r="C52" t="s">
        <v>280</v>
      </c>
      <c r="D52" t="s">
        <v>280</v>
      </c>
    </row>
    <row r="53" spans="3:4">
      <c r="C53" t="s">
        <v>280</v>
      </c>
      <c r="D53" t="s">
        <v>280</v>
      </c>
    </row>
    <row r="54" spans="3:4">
      <c r="C54" t="s">
        <v>280</v>
      </c>
      <c r="D54" t="s">
        <v>280</v>
      </c>
    </row>
    <row r="55" spans="3:4">
      <c r="C55" t="s">
        <v>280</v>
      </c>
      <c r="D55" t="s">
        <v>280</v>
      </c>
    </row>
    <row r="56" spans="3:4">
      <c r="C56" t="s">
        <v>280</v>
      </c>
      <c r="D56" t="s">
        <v>280</v>
      </c>
    </row>
    <row r="57" spans="3:4">
      <c r="C57" t="s">
        <v>280</v>
      </c>
      <c r="D57" t="s">
        <v>280</v>
      </c>
    </row>
    <row r="58" spans="3:4">
      <c r="C58" t="s">
        <v>280</v>
      </c>
      <c r="D58" t="s">
        <v>280</v>
      </c>
    </row>
    <row r="59" spans="3:4">
      <c r="C59" t="s">
        <v>280</v>
      </c>
      <c r="D59" t="s">
        <v>280</v>
      </c>
    </row>
    <row r="60" spans="3:4">
      <c r="C60" t="s">
        <v>280</v>
      </c>
      <c r="D60" t="s">
        <v>280</v>
      </c>
    </row>
    <row r="61" spans="3:4">
      <c r="C61" t="s">
        <v>280</v>
      </c>
      <c r="D61" t="s">
        <v>280</v>
      </c>
    </row>
    <row r="62" spans="3:4">
      <c r="C62" t="s">
        <v>280</v>
      </c>
      <c r="D62" t="s">
        <v>280</v>
      </c>
    </row>
    <row r="63" spans="3:4">
      <c r="C63" t="s">
        <v>280</v>
      </c>
      <c r="D63" t="s">
        <v>280</v>
      </c>
    </row>
    <row r="64" spans="3:4">
      <c r="C64" t="s">
        <v>280</v>
      </c>
      <c r="D64" t="s">
        <v>280</v>
      </c>
    </row>
    <row r="65" spans="3:4">
      <c r="C65" t="s">
        <v>280</v>
      </c>
      <c r="D65" t="s">
        <v>280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261"/>
  <sheetViews>
    <sheetView topLeftCell="A22" workbookViewId="0">
      <selection activeCell="G15" sqref="G15"/>
    </sheetView>
  </sheetViews>
  <sheetFormatPr defaultColWidth="11.7109375" defaultRowHeight="15"/>
  <cols>
    <col min="1" max="1" width="59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245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3502141.73</v>
      </c>
      <c r="D8" s="11">
        <f>D9+D11+D14+D15</f>
        <v>3506776.6</v>
      </c>
    </row>
    <row r="9" spans="1:4" ht="30">
      <c r="A9" s="12" t="s">
        <v>90</v>
      </c>
      <c r="B9" s="13" t="s">
        <v>91</v>
      </c>
      <c r="C9" s="14">
        <f>3411411.12</f>
        <v>3411411.12</v>
      </c>
      <c r="D9" s="15">
        <f>3070176.2</f>
        <v>3070176.2</v>
      </c>
    </row>
    <row r="10" spans="1:4">
      <c r="A10" s="16" t="s">
        <v>92</v>
      </c>
      <c r="B10" s="17" t="s">
        <v>93</v>
      </c>
      <c r="C10" s="18">
        <f>2172901.47465438</f>
        <v>2172901.4746543802</v>
      </c>
      <c r="D10" s="19">
        <f>_31h_E12</f>
        <v>2172901.4746543802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90730.609999999986</v>
      </c>
      <c r="D15" s="15">
        <f>SUM(D16:D24)</f>
        <v>436600.39999999997</v>
      </c>
    </row>
    <row r="16" spans="1:4">
      <c r="A16" s="22" t="s">
        <v>103</v>
      </c>
      <c r="B16" s="17" t="s">
        <v>104</v>
      </c>
      <c r="C16" s="111">
        <v>54240.84</v>
      </c>
      <c r="D16" s="113">
        <v>402649.04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16103.15</f>
        <v>16103.15</v>
      </c>
      <c r="D18" s="19">
        <f>13560.26</f>
        <v>13560.26</v>
      </c>
    </row>
    <row r="19" spans="1:4">
      <c r="A19" s="22" t="s">
        <v>109</v>
      </c>
      <c r="B19" s="17" t="s">
        <v>110</v>
      </c>
      <c r="C19" s="18">
        <f>12088.48</f>
        <v>12088.48</v>
      </c>
      <c r="D19" s="19">
        <f>12096.6</f>
        <v>12096.6</v>
      </c>
    </row>
    <row r="20" spans="1:4">
      <c r="A20" s="22" t="s">
        <v>111</v>
      </c>
      <c r="B20" s="17" t="s">
        <v>112</v>
      </c>
      <c r="C20" s="18">
        <f>8298.14</f>
        <v>8298.14</v>
      </c>
      <c r="D20" s="19">
        <f>8294.5</f>
        <v>8294.5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1456810.1500000278</v>
      </c>
      <c r="D25" s="15">
        <f>D26+D27+D30+D28+D29+D31</f>
        <v>1448198.12</v>
      </c>
    </row>
    <row r="26" spans="1:4" ht="20.25" customHeight="1">
      <c r="A26" s="24" t="s">
        <v>123</v>
      </c>
      <c r="B26" s="20" t="s">
        <v>124</v>
      </c>
      <c r="C26" s="18">
        <f>680223.84</f>
        <v>680223.84</v>
      </c>
      <c r="D26" s="19">
        <f>679279.06</f>
        <v>679279.06</v>
      </c>
    </row>
    <row r="27" spans="1:4" ht="45">
      <c r="A27" s="24" t="s">
        <v>125</v>
      </c>
      <c r="B27" s="20" t="s">
        <v>126</v>
      </c>
      <c r="C27" s="18">
        <f>53989.44</f>
        <v>53989.440000000002</v>
      </c>
      <c r="D27" s="19">
        <f>53936.34</f>
        <v>53936.34</v>
      </c>
    </row>
    <row r="28" spans="1:4" ht="33.7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56438.76</f>
        <v>56438.76</v>
      </c>
      <c r="D29" s="19">
        <f>55945.34</f>
        <v>55945.34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257702.11000002793</v>
      </c>
      <c r="D31" s="15">
        <f>SUM(D32:D39)</f>
        <v>250581.38</v>
      </c>
    </row>
    <row r="32" spans="1:4" ht="20.25" customHeight="1">
      <c r="A32" s="24" t="s">
        <v>135</v>
      </c>
      <c r="B32" s="17" t="s">
        <v>136</v>
      </c>
      <c r="C32" s="18">
        <f>25947.12</f>
        <v>25947.119999999999</v>
      </c>
      <c r="D32" s="19">
        <f>25947.1</f>
        <v>25947.1</v>
      </c>
    </row>
    <row r="33" spans="1:4">
      <c r="A33" s="24" t="s">
        <v>137</v>
      </c>
      <c r="B33" s="17" t="s">
        <v>138</v>
      </c>
      <c r="C33" s="18">
        <f>93104.54</f>
        <v>93104.54</v>
      </c>
      <c r="D33" s="19">
        <f>95004.18</f>
        <v>95004.18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</f>
        <v>129630.1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5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7902.41000002794</f>
        <v>7902.4100000279404</v>
      </c>
      <c r="D39" s="19">
        <f>0</f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7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24215.040000000001</v>
      </c>
      <c r="D45" s="27">
        <f>SUM(D46:D48)</f>
        <v>19033.98</v>
      </c>
    </row>
    <row r="46" spans="1:4">
      <c r="A46" s="21" t="s">
        <v>163</v>
      </c>
      <c r="B46" s="17" t="s">
        <v>164</v>
      </c>
      <c r="C46" s="18">
        <f>22894.32</f>
        <v>22894.32</v>
      </c>
      <c r="D46" s="19">
        <f>17713.26</f>
        <v>17713.259999999998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222988.08</f>
        <v>222988.08</v>
      </c>
      <c r="D49" s="30">
        <f>232146.3</f>
        <v>232146.3</v>
      </c>
    </row>
    <row r="50" spans="1:4">
      <c r="A50" s="8" t="s">
        <v>169</v>
      </c>
      <c r="B50" s="9" t="s">
        <v>170</v>
      </c>
      <c r="C50" s="14">
        <f>C8+C25+C40+C41+C42+C43+C44+C45+C49+C51+C52</f>
        <v>5206155.0000000279</v>
      </c>
      <c r="D50" s="15">
        <f>D8+D25+D40+D41+D42+D43+D44+D45+D49+D51+D52</f>
        <v>5206155.0000000009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2937746.6999999997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2846540.94</f>
        <v>2846540.94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91205.76</f>
        <v>91205.759999999995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1512168</f>
        <v>1512168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4449914.6999999993</v>
      </c>
      <c r="D59" s="27">
        <f>D54+D57+D58</f>
        <v>0</v>
      </c>
    </row>
    <row r="60" spans="1:4" ht="25.5">
      <c r="A60" s="33" t="s">
        <v>188</v>
      </c>
      <c r="B60" s="9"/>
      <c r="C60" s="34">
        <v>19325</v>
      </c>
      <c r="D60" s="35">
        <v>19325</v>
      </c>
    </row>
    <row r="61" spans="1:4" ht="15.75" thickBot="1">
      <c r="A61" s="36" t="s">
        <v>189</v>
      </c>
      <c r="B61" s="37"/>
      <c r="C61" s="38">
        <f>(C50+C51+C52)/C60/12</f>
        <v>22.45000000000012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278</v>
      </c>
      <c r="D7" t="s">
        <v>278</v>
      </c>
    </row>
    <row r="8" spans="3:4">
      <c r="C8" t="s">
        <v>278</v>
      </c>
      <c r="D8" t="s">
        <v>278</v>
      </c>
    </row>
    <row r="9" spans="3:4">
      <c r="C9" t="s">
        <v>278</v>
      </c>
      <c r="D9" t="s">
        <v>278</v>
      </c>
    </row>
    <row r="10" spans="3:4">
      <c r="C10" t="s">
        <v>278</v>
      </c>
      <c r="D10" t="s">
        <v>278</v>
      </c>
    </row>
    <row r="11" spans="3:4">
      <c r="C11" t="s">
        <v>278</v>
      </c>
      <c r="D11" t="s">
        <v>278</v>
      </c>
    </row>
    <row r="12" spans="3:4">
      <c r="C12" t="s">
        <v>278</v>
      </c>
      <c r="D12" t="s">
        <v>278</v>
      </c>
    </row>
    <row r="13" spans="3:4">
      <c r="C13" t="s">
        <v>278</v>
      </c>
      <c r="D13" t="s">
        <v>278</v>
      </c>
    </row>
    <row r="14" spans="3:4">
      <c r="C14" t="s">
        <v>278</v>
      </c>
      <c r="D14" t="s">
        <v>278</v>
      </c>
    </row>
    <row r="15" spans="3:4">
      <c r="C15" t="s">
        <v>278</v>
      </c>
      <c r="D15" t="s">
        <v>278</v>
      </c>
    </row>
    <row r="16" spans="3:4">
      <c r="C16" t="s">
        <v>278</v>
      </c>
      <c r="D16" t="s">
        <v>278</v>
      </c>
    </row>
    <row r="17" spans="3:4">
      <c r="C17" t="s">
        <v>278</v>
      </c>
      <c r="D17" t="s">
        <v>278</v>
      </c>
    </row>
    <row r="18" spans="3:4">
      <c r="C18" t="s">
        <v>278</v>
      </c>
      <c r="D18" t="s">
        <v>278</v>
      </c>
    </row>
    <row r="19" spans="3:4">
      <c r="C19" t="s">
        <v>278</v>
      </c>
      <c r="D19" t="s">
        <v>278</v>
      </c>
    </row>
    <row r="20" spans="3:4">
      <c r="C20" t="s">
        <v>278</v>
      </c>
      <c r="D20" t="s">
        <v>278</v>
      </c>
    </row>
    <row r="21" spans="3:4">
      <c r="C21" t="s">
        <v>278</v>
      </c>
      <c r="D21" t="s">
        <v>278</v>
      </c>
    </row>
    <row r="22" spans="3:4">
      <c r="C22" t="s">
        <v>278</v>
      </c>
      <c r="D22" t="s">
        <v>278</v>
      </c>
    </row>
    <row r="23" spans="3:4">
      <c r="C23" t="s">
        <v>278</v>
      </c>
      <c r="D23" t="s">
        <v>278</v>
      </c>
    </row>
    <row r="24" spans="3:4">
      <c r="C24" t="s">
        <v>278</v>
      </c>
      <c r="D24" t="s">
        <v>278</v>
      </c>
    </row>
    <row r="25" spans="3:4">
      <c r="C25" t="s">
        <v>278</v>
      </c>
      <c r="D25" t="s">
        <v>278</v>
      </c>
    </row>
    <row r="26" spans="3:4">
      <c r="C26" t="s">
        <v>278</v>
      </c>
      <c r="D26" t="s">
        <v>278</v>
      </c>
    </row>
    <row r="27" spans="3:4">
      <c r="C27" t="s">
        <v>278</v>
      </c>
      <c r="D27" t="s">
        <v>278</v>
      </c>
    </row>
    <row r="28" spans="3:4">
      <c r="C28" t="s">
        <v>278</v>
      </c>
      <c r="D28" t="s">
        <v>278</v>
      </c>
    </row>
    <row r="29" spans="3:4">
      <c r="C29" t="s">
        <v>278</v>
      </c>
      <c r="D29" t="s">
        <v>278</v>
      </c>
    </row>
    <row r="30" spans="3:4">
      <c r="C30" t="s">
        <v>278</v>
      </c>
      <c r="D30" t="s">
        <v>278</v>
      </c>
    </row>
    <row r="31" spans="3:4">
      <c r="C31" t="s">
        <v>278</v>
      </c>
      <c r="D31" t="s">
        <v>278</v>
      </c>
    </row>
    <row r="32" spans="3:4">
      <c r="C32" t="s">
        <v>278</v>
      </c>
      <c r="D32" t="s">
        <v>278</v>
      </c>
    </row>
    <row r="33" spans="3:4">
      <c r="C33" t="s">
        <v>278</v>
      </c>
      <c r="D33" t="s">
        <v>278</v>
      </c>
    </row>
    <row r="34" spans="3:4">
      <c r="C34" t="s">
        <v>278</v>
      </c>
      <c r="D34" t="s">
        <v>278</v>
      </c>
    </row>
    <row r="35" spans="3:4">
      <c r="C35" t="s">
        <v>278</v>
      </c>
      <c r="D35" t="s">
        <v>278</v>
      </c>
    </row>
    <row r="36" spans="3:4">
      <c r="C36" t="s">
        <v>278</v>
      </c>
      <c r="D36" t="s">
        <v>278</v>
      </c>
    </row>
    <row r="37" spans="3:4">
      <c r="C37" t="s">
        <v>278</v>
      </c>
      <c r="D37" t="s">
        <v>278</v>
      </c>
    </row>
    <row r="38" spans="3:4">
      <c r="C38" t="s">
        <v>278</v>
      </c>
      <c r="D38" t="s">
        <v>278</v>
      </c>
    </row>
    <row r="39" spans="3:4">
      <c r="C39" t="s">
        <v>278</v>
      </c>
      <c r="D39" t="s">
        <v>278</v>
      </c>
    </row>
    <row r="40" spans="3:4">
      <c r="C40" t="s">
        <v>278</v>
      </c>
      <c r="D40" t="s">
        <v>278</v>
      </c>
    </row>
    <row r="41" spans="3:4">
      <c r="C41" t="s">
        <v>278</v>
      </c>
      <c r="D41" t="s">
        <v>278</v>
      </c>
    </row>
    <row r="42" spans="3:4">
      <c r="C42" t="s">
        <v>278</v>
      </c>
      <c r="D42" t="s">
        <v>278</v>
      </c>
    </row>
    <row r="43" spans="3:4">
      <c r="C43" t="s">
        <v>278</v>
      </c>
      <c r="D43" t="s">
        <v>278</v>
      </c>
    </row>
    <row r="44" spans="3:4">
      <c r="C44" t="s">
        <v>278</v>
      </c>
      <c r="D44" t="s">
        <v>278</v>
      </c>
    </row>
    <row r="45" spans="3:4">
      <c r="C45" t="s">
        <v>278</v>
      </c>
      <c r="D45" t="s">
        <v>278</v>
      </c>
    </row>
    <row r="46" spans="3:4">
      <c r="C46" t="s">
        <v>278</v>
      </c>
      <c r="D46" t="s">
        <v>278</v>
      </c>
    </row>
    <row r="47" spans="3:4">
      <c r="C47" t="s">
        <v>278</v>
      </c>
      <c r="D47" t="s">
        <v>278</v>
      </c>
    </row>
    <row r="48" spans="3:4">
      <c r="C48" t="s">
        <v>278</v>
      </c>
      <c r="D48" t="s">
        <v>278</v>
      </c>
    </row>
    <row r="49" spans="3:4">
      <c r="C49" t="s">
        <v>278</v>
      </c>
      <c r="D49" t="s">
        <v>278</v>
      </c>
    </row>
    <row r="50" spans="3:4">
      <c r="C50" t="s">
        <v>278</v>
      </c>
      <c r="D50" t="s">
        <v>278</v>
      </c>
    </row>
    <row r="51" spans="3:4">
      <c r="C51" t="s">
        <v>278</v>
      </c>
      <c r="D51" t="s">
        <v>278</v>
      </c>
    </row>
    <row r="52" spans="3:4">
      <c r="C52" t="s">
        <v>278</v>
      </c>
      <c r="D52" t="s">
        <v>278</v>
      </c>
    </row>
    <row r="53" spans="3:4">
      <c r="C53" t="s">
        <v>278</v>
      </c>
      <c r="D53" t="s">
        <v>278</v>
      </c>
    </row>
    <row r="54" spans="3:4">
      <c r="C54" t="s">
        <v>278</v>
      </c>
      <c r="D54" t="s">
        <v>278</v>
      </c>
    </row>
    <row r="55" spans="3:4">
      <c r="C55" t="s">
        <v>278</v>
      </c>
      <c r="D55" t="s">
        <v>278</v>
      </c>
    </row>
    <row r="56" spans="3:4">
      <c r="C56" t="s">
        <v>278</v>
      </c>
      <c r="D56" t="s">
        <v>278</v>
      </c>
    </row>
    <row r="57" spans="3:4">
      <c r="C57" t="s">
        <v>278</v>
      </c>
      <c r="D57" t="s">
        <v>278</v>
      </c>
    </row>
    <row r="58" spans="3:4">
      <c r="C58" t="s">
        <v>278</v>
      </c>
      <c r="D58" t="s">
        <v>278</v>
      </c>
    </row>
    <row r="59" spans="3:4">
      <c r="C59" t="s">
        <v>278</v>
      </c>
      <c r="D59" t="s">
        <v>278</v>
      </c>
    </row>
    <row r="60" spans="3:4">
      <c r="C60" t="s">
        <v>278</v>
      </c>
      <c r="D60" t="s">
        <v>278</v>
      </c>
    </row>
    <row r="61" spans="3:4">
      <c r="C61" t="s">
        <v>278</v>
      </c>
      <c r="D61" t="s">
        <v>278</v>
      </c>
    </row>
    <row r="62" spans="3:4">
      <c r="C62" t="s">
        <v>278</v>
      </c>
      <c r="D62" t="s">
        <v>278</v>
      </c>
    </row>
    <row r="63" spans="3:4">
      <c r="C63" t="s">
        <v>278</v>
      </c>
      <c r="D63" t="s">
        <v>278</v>
      </c>
    </row>
    <row r="64" spans="3:4">
      <c r="C64" t="s">
        <v>278</v>
      </c>
      <c r="D64" t="s">
        <v>278</v>
      </c>
    </row>
    <row r="65" spans="3:4">
      <c r="C65" t="s">
        <v>278</v>
      </c>
      <c r="D65" t="s">
        <v>278</v>
      </c>
    </row>
  </sheetData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276</v>
      </c>
      <c r="D7" t="s">
        <v>276</v>
      </c>
    </row>
    <row r="8" spans="3:4">
      <c r="C8" t="s">
        <v>276</v>
      </c>
      <c r="D8" t="s">
        <v>276</v>
      </c>
    </row>
    <row r="9" spans="3:4">
      <c r="C9" t="s">
        <v>276</v>
      </c>
      <c r="D9" t="s">
        <v>276</v>
      </c>
    </row>
    <row r="10" spans="3:4">
      <c r="C10" t="s">
        <v>276</v>
      </c>
      <c r="D10" t="s">
        <v>276</v>
      </c>
    </row>
    <row r="11" spans="3:4">
      <c r="C11" t="s">
        <v>276</v>
      </c>
      <c r="D11" t="s">
        <v>276</v>
      </c>
    </row>
    <row r="12" spans="3:4">
      <c r="C12" t="s">
        <v>276</v>
      </c>
      <c r="D12" t="s">
        <v>276</v>
      </c>
    </row>
    <row r="13" spans="3:4">
      <c r="C13" t="s">
        <v>276</v>
      </c>
      <c r="D13" t="s">
        <v>276</v>
      </c>
    </row>
    <row r="14" spans="3:4">
      <c r="C14" t="s">
        <v>276</v>
      </c>
      <c r="D14" t="s">
        <v>276</v>
      </c>
    </row>
    <row r="15" spans="3:4">
      <c r="C15" t="s">
        <v>276</v>
      </c>
      <c r="D15" t="s">
        <v>276</v>
      </c>
    </row>
    <row r="16" spans="3:4">
      <c r="C16" t="s">
        <v>276</v>
      </c>
      <c r="D16" t="s">
        <v>276</v>
      </c>
    </row>
    <row r="17" spans="3:4">
      <c r="C17" t="s">
        <v>276</v>
      </c>
      <c r="D17" t="s">
        <v>276</v>
      </c>
    </row>
    <row r="18" spans="3:4">
      <c r="C18" t="s">
        <v>276</v>
      </c>
      <c r="D18" t="s">
        <v>276</v>
      </c>
    </row>
    <row r="19" spans="3:4">
      <c r="C19" t="s">
        <v>276</v>
      </c>
      <c r="D19" t="s">
        <v>276</v>
      </c>
    </row>
    <row r="20" spans="3:4">
      <c r="C20" t="s">
        <v>276</v>
      </c>
      <c r="D20" t="s">
        <v>276</v>
      </c>
    </row>
    <row r="21" spans="3:4">
      <c r="C21" t="s">
        <v>276</v>
      </c>
      <c r="D21" t="s">
        <v>276</v>
      </c>
    </row>
    <row r="22" spans="3:4">
      <c r="C22" t="s">
        <v>276</v>
      </c>
      <c r="D22" t="s">
        <v>276</v>
      </c>
    </row>
    <row r="23" spans="3:4">
      <c r="C23" t="s">
        <v>276</v>
      </c>
      <c r="D23" t="s">
        <v>276</v>
      </c>
    </row>
    <row r="24" spans="3:4">
      <c r="C24" t="s">
        <v>276</v>
      </c>
      <c r="D24" t="s">
        <v>276</v>
      </c>
    </row>
    <row r="25" spans="3:4">
      <c r="C25" t="s">
        <v>276</v>
      </c>
      <c r="D25" t="s">
        <v>276</v>
      </c>
    </row>
    <row r="26" spans="3:4">
      <c r="C26" t="s">
        <v>276</v>
      </c>
      <c r="D26" t="s">
        <v>276</v>
      </c>
    </row>
    <row r="27" spans="3:4">
      <c r="C27" t="s">
        <v>276</v>
      </c>
      <c r="D27" t="s">
        <v>276</v>
      </c>
    </row>
    <row r="28" spans="3:4">
      <c r="C28" t="s">
        <v>276</v>
      </c>
      <c r="D28" t="s">
        <v>276</v>
      </c>
    </row>
    <row r="29" spans="3:4">
      <c r="C29" t="s">
        <v>276</v>
      </c>
      <c r="D29" t="s">
        <v>276</v>
      </c>
    </row>
    <row r="30" spans="3:4">
      <c r="C30" t="s">
        <v>276</v>
      </c>
      <c r="D30" t="s">
        <v>276</v>
      </c>
    </row>
    <row r="31" spans="3:4">
      <c r="C31" t="s">
        <v>276</v>
      </c>
      <c r="D31" t="s">
        <v>276</v>
      </c>
    </row>
    <row r="32" spans="3:4">
      <c r="C32" t="s">
        <v>276</v>
      </c>
      <c r="D32" t="s">
        <v>276</v>
      </c>
    </row>
    <row r="33" spans="3:4">
      <c r="C33" t="s">
        <v>276</v>
      </c>
      <c r="D33" t="s">
        <v>276</v>
      </c>
    </row>
    <row r="34" spans="3:4">
      <c r="C34" t="s">
        <v>276</v>
      </c>
      <c r="D34" t="s">
        <v>276</v>
      </c>
    </row>
    <row r="35" spans="3:4">
      <c r="C35" t="s">
        <v>276</v>
      </c>
      <c r="D35" t="s">
        <v>276</v>
      </c>
    </row>
    <row r="36" spans="3:4">
      <c r="C36" t="s">
        <v>276</v>
      </c>
      <c r="D36" t="s">
        <v>276</v>
      </c>
    </row>
    <row r="37" spans="3:4">
      <c r="C37" t="s">
        <v>276</v>
      </c>
      <c r="D37" t="s">
        <v>276</v>
      </c>
    </row>
    <row r="38" spans="3:4">
      <c r="C38" t="s">
        <v>276</v>
      </c>
      <c r="D38" t="s">
        <v>276</v>
      </c>
    </row>
    <row r="39" spans="3:4">
      <c r="C39" t="s">
        <v>276</v>
      </c>
      <c r="D39" t="s">
        <v>276</v>
      </c>
    </row>
    <row r="40" spans="3:4">
      <c r="C40" t="s">
        <v>276</v>
      </c>
      <c r="D40" t="s">
        <v>276</v>
      </c>
    </row>
    <row r="41" spans="3:4">
      <c r="C41" t="s">
        <v>276</v>
      </c>
      <c r="D41" t="s">
        <v>276</v>
      </c>
    </row>
    <row r="42" spans="3:4">
      <c r="C42" t="s">
        <v>276</v>
      </c>
      <c r="D42" t="s">
        <v>276</v>
      </c>
    </row>
    <row r="43" spans="3:4">
      <c r="C43" t="s">
        <v>276</v>
      </c>
      <c r="D43" t="s">
        <v>276</v>
      </c>
    </row>
    <row r="44" spans="3:4">
      <c r="C44" t="s">
        <v>276</v>
      </c>
      <c r="D44" t="s">
        <v>276</v>
      </c>
    </row>
    <row r="45" spans="3:4">
      <c r="C45" t="s">
        <v>276</v>
      </c>
      <c r="D45" t="s">
        <v>276</v>
      </c>
    </row>
    <row r="46" spans="3:4">
      <c r="C46" t="s">
        <v>276</v>
      </c>
      <c r="D46" t="s">
        <v>276</v>
      </c>
    </row>
    <row r="47" spans="3:4">
      <c r="C47" t="s">
        <v>276</v>
      </c>
      <c r="D47" t="s">
        <v>276</v>
      </c>
    </row>
    <row r="48" spans="3:4">
      <c r="C48" t="s">
        <v>276</v>
      </c>
      <c r="D48" t="s">
        <v>276</v>
      </c>
    </row>
    <row r="49" spans="3:4">
      <c r="C49" t="s">
        <v>276</v>
      </c>
      <c r="D49" t="s">
        <v>276</v>
      </c>
    </row>
    <row r="50" spans="3:4">
      <c r="C50" t="s">
        <v>276</v>
      </c>
      <c r="D50" t="s">
        <v>276</v>
      </c>
    </row>
    <row r="51" spans="3:4">
      <c r="C51" t="s">
        <v>276</v>
      </c>
      <c r="D51" t="s">
        <v>276</v>
      </c>
    </row>
    <row r="52" spans="3:4">
      <c r="C52" t="s">
        <v>276</v>
      </c>
      <c r="D52" t="s">
        <v>276</v>
      </c>
    </row>
    <row r="53" spans="3:4">
      <c r="C53" t="s">
        <v>276</v>
      </c>
      <c r="D53" t="s">
        <v>276</v>
      </c>
    </row>
    <row r="54" spans="3:4">
      <c r="C54" t="s">
        <v>276</v>
      </c>
      <c r="D54" t="s">
        <v>276</v>
      </c>
    </row>
    <row r="55" spans="3:4">
      <c r="C55" t="s">
        <v>276</v>
      </c>
      <c r="D55" t="s">
        <v>276</v>
      </c>
    </row>
    <row r="56" spans="3:4">
      <c r="C56" t="s">
        <v>276</v>
      </c>
      <c r="D56" t="s">
        <v>276</v>
      </c>
    </row>
    <row r="57" spans="3:4">
      <c r="C57" t="s">
        <v>276</v>
      </c>
      <c r="D57" t="s">
        <v>276</v>
      </c>
    </row>
    <row r="58" spans="3:4">
      <c r="C58" t="s">
        <v>276</v>
      </c>
      <c r="D58" t="s">
        <v>276</v>
      </c>
    </row>
    <row r="59" spans="3:4">
      <c r="C59" t="s">
        <v>276</v>
      </c>
      <c r="D59" t="s">
        <v>276</v>
      </c>
    </row>
    <row r="60" spans="3:4">
      <c r="C60" t="s">
        <v>276</v>
      </c>
      <c r="D60" t="s">
        <v>276</v>
      </c>
    </row>
    <row r="61" spans="3:4">
      <c r="C61" t="s">
        <v>276</v>
      </c>
      <c r="D61" t="s">
        <v>276</v>
      </c>
    </row>
    <row r="62" spans="3:4">
      <c r="C62" t="s">
        <v>276</v>
      </c>
      <c r="D62" t="s">
        <v>276</v>
      </c>
    </row>
    <row r="63" spans="3:4">
      <c r="C63" t="s">
        <v>276</v>
      </c>
      <c r="D63" t="s">
        <v>276</v>
      </c>
    </row>
    <row r="64" spans="3:4">
      <c r="C64" t="s">
        <v>276</v>
      </c>
      <c r="D64" t="s">
        <v>276</v>
      </c>
    </row>
    <row r="65" spans="3:4">
      <c r="C65" t="s">
        <v>276</v>
      </c>
      <c r="D65" t="s">
        <v>276</v>
      </c>
    </row>
  </sheetData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274</v>
      </c>
      <c r="D7" t="s">
        <v>274</v>
      </c>
    </row>
    <row r="8" spans="3:4">
      <c r="C8" t="s">
        <v>274</v>
      </c>
      <c r="D8" t="s">
        <v>274</v>
      </c>
    </row>
    <row r="9" spans="3:4">
      <c r="C9" t="s">
        <v>274</v>
      </c>
      <c r="D9" t="s">
        <v>274</v>
      </c>
    </row>
    <row r="10" spans="3:4">
      <c r="C10" t="s">
        <v>274</v>
      </c>
      <c r="D10" t="s">
        <v>274</v>
      </c>
    </row>
    <row r="11" spans="3:4">
      <c r="C11" t="s">
        <v>274</v>
      </c>
      <c r="D11" t="s">
        <v>274</v>
      </c>
    </row>
    <row r="12" spans="3:4">
      <c r="C12" t="s">
        <v>274</v>
      </c>
      <c r="D12" t="s">
        <v>274</v>
      </c>
    </row>
    <row r="13" spans="3:4">
      <c r="C13" t="s">
        <v>274</v>
      </c>
      <c r="D13" t="s">
        <v>274</v>
      </c>
    </row>
    <row r="14" spans="3:4">
      <c r="C14" t="s">
        <v>274</v>
      </c>
      <c r="D14" t="s">
        <v>274</v>
      </c>
    </row>
    <row r="15" spans="3:4">
      <c r="C15" t="s">
        <v>274</v>
      </c>
      <c r="D15" t="s">
        <v>274</v>
      </c>
    </row>
    <row r="16" spans="3:4">
      <c r="C16" t="s">
        <v>274</v>
      </c>
      <c r="D16" t="s">
        <v>274</v>
      </c>
    </row>
    <row r="17" spans="3:4">
      <c r="C17" t="s">
        <v>274</v>
      </c>
      <c r="D17" t="s">
        <v>274</v>
      </c>
    </row>
    <row r="18" spans="3:4">
      <c r="C18" t="s">
        <v>274</v>
      </c>
      <c r="D18" t="s">
        <v>274</v>
      </c>
    </row>
    <row r="19" spans="3:4">
      <c r="C19" t="s">
        <v>274</v>
      </c>
      <c r="D19" t="s">
        <v>274</v>
      </c>
    </row>
    <row r="20" spans="3:4">
      <c r="C20" t="s">
        <v>274</v>
      </c>
      <c r="D20" t="s">
        <v>274</v>
      </c>
    </row>
    <row r="21" spans="3:4">
      <c r="C21" t="s">
        <v>274</v>
      </c>
      <c r="D21" t="s">
        <v>274</v>
      </c>
    </row>
    <row r="22" spans="3:4">
      <c r="C22" t="s">
        <v>274</v>
      </c>
      <c r="D22" t="s">
        <v>274</v>
      </c>
    </row>
    <row r="23" spans="3:4">
      <c r="C23" t="s">
        <v>274</v>
      </c>
      <c r="D23" t="s">
        <v>274</v>
      </c>
    </row>
    <row r="24" spans="3:4">
      <c r="C24" t="s">
        <v>274</v>
      </c>
      <c r="D24" t="s">
        <v>274</v>
      </c>
    </row>
    <row r="25" spans="3:4">
      <c r="C25" t="s">
        <v>274</v>
      </c>
      <c r="D25" t="s">
        <v>274</v>
      </c>
    </row>
    <row r="26" spans="3:4">
      <c r="C26" t="s">
        <v>274</v>
      </c>
      <c r="D26" t="s">
        <v>274</v>
      </c>
    </row>
    <row r="27" spans="3:4">
      <c r="C27" t="s">
        <v>274</v>
      </c>
      <c r="D27" t="s">
        <v>274</v>
      </c>
    </row>
    <row r="28" spans="3:4">
      <c r="C28" t="s">
        <v>274</v>
      </c>
      <c r="D28" t="s">
        <v>274</v>
      </c>
    </row>
    <row r="29" spans="3:4">
      <c r="C29" t="s">
        <v>274</v>
      </c>
      <c r="D29" t="s">
        <v>274</v>
      </c>
    </row>
    <row r="30" spans="3:4">
      <c r="C30" t="s">
        <v>274</v>
      </c>
      <c r="D30" t="s">
        <v>274</v>
      </c>
    </row>
    <row r="31" spans="3:4">
      <c r="C31" t="s">
        <v>274</v>
      </c>
      <c r="D31" t="s">
        <v>274</v>
      </c>
    </row>
    <row r="32" spans="3:4">
      <c r="C32" t="s">
        <v>274</v>
      </c>
      <c r="D32" t="s">
        <v>274</v>
      </c>
    </row>
    <row r="33" spans="3:4">
      <c r="C33" t="s">
        <v>274</v>
      </c>
      <c r="D33" t="s">
        <v>274</v>
      </c>
    </row>
    <row r="34" spans="3:4">
      <c r="C34" t="s">
        <v>274</v>
      </c>
      <c r="D34" t="s">
        <v>274</v>
      </c>
    </row>
    <row r="35" spans="3:4">
      <c r="C35" t="s">
        <v>274</v>
      </c>
      <c r="D35" t="s">
        <v>274</v>
      </c>
    </row>
    <row r="36" spans="3:4">
      <c r="C36" t="s">
        <v>274</v>
      </c>
      <c r="D36" t="s">
        <v>274</v>
      </c>
    </row>
    <row r="37" spans="3:4">
      <c r="C37" t="s">
        <v>274</v>
      </c>
      <c r="D37" t="s">
        <v>274</v>
      </c>
    </row>
    <row r="38" spans="3:4">
      <c r="C38" t="s">
        <v>274</v>
      </c>
      <c r="D38" t="s">
        <v>274</v>
      </c>
    </row>
    <row r="39" spans="3:4">
      <c r="C39" t="s">
        <v>274</v>
      </c>
      <c r="D39" t="s">
        <v>274</v>
      </c>
    </row>
    <row r="40" spans="3:4">
      <c r="C40" t="s">
        <v>274</v>
      </c>
      <c r="D40" t="s">
        <v>274</v>
      </c>
    </row>
    <row r="41" spans="3:4">
      <c r="C41" t="s">
        <v>274</v>
      </c>
      <c r="D41" t="s">
        <v>274</v>
      </c>
    </row>
    <row r="42" spans="3:4">
      <c r="C42" t="s">
        <v>274</v>
      </c>
      <c r="D42" t="s">
        <v>274</v>
      </c>
    </row>
    <row r="43" spans="3:4">
      <c r="C43" t="s">
        <v>274</v>
      </c>
      <c r="D43" t="s">
        <v>274</v>
      </c>
    </row>
    <row r="44" spans="3:4">
      <c r="C44" t="s">
        <v>274</v>
      </c>
      <c r="D44" t="s">
        <v>274</v>
      </c>
    </row>
    <row r="45" spans="3:4">
      <c r="C45" t="s">
        <v>274</v>
      </c>
      <c r="D45" t="s">
        <v>274</v>
      </c>
    </row>
    <row r="46" spans="3:4">
      <c r="C46" t="s">
        <v>274</v>
      </c>
      <c r="D46" t="s">
        <v>274</v>
      </c>
    </row>
    <row r="47" spans="3:4">
      <c r="C47" t="s">
        <v>274</v>
      </c>
      <c r="D47" t="s">
        <v>274</v>
      </c>
    </row>
    <row r="48" spans="3:4">
      <c r="C48" t="s">
        <v>274</v>
      </c>
      <c r="D48" t="s">
        <v>274</v>
      </c>
    </row>
    <row r="49" spans="3:4">
      <c r="C49" t="s">
        <v>274</v>
      </c>
      <c r="D49" t="s">
        <v>274</v>
      </c>
    </row>
    <row r="50" spans="3:4">
      <c r="C50" t="s">
        <v>274</v>
      </c>
      <c r="D50" t="s">
        <v>274</v>
      </c>
    </row>
    <row r="51" spans="3:4">
      <c r="C51" t="s">
        <v>274</v>
      </c>
      <c r="D51" t="s">
        <v>274</v>
      </c>
    </row>
    <row r="52" spans="3:4">
      <c r="C52" t="s">
        <v>274</v>
      </c>
      <c r="D52" t="s">
        <v>274</v>
      </c>
    </row>
    <row r="53" spans="3:4">
      <c r="C53" t="s">
        <v>274</v>
      </c>
      <c r="D53" t="s">
        <v>274</v>
      </c>
    </row>
    <row r="54" spans="3:4">
      <c r="C54" t="s">
        <v>274</v>
      </c>
      <c r="D54" t="s">
        <v>274</v>
      </c>
    </row>
    <row r="55" spans="3:4">
      <c r="C55" t="s">
        <v>274</v>
      </c>
      <c r="D55" t="s">
        <v>274</v>
      </c>
    </row>
    <row r="56" spans="3:4">
      <c r="C56" t="s">
        <v>274</v>
      </c>
      <c r="D56" t="s">
        <v>274</v>
      </c>
    </row>
    <row r="57" spans="3:4">
      <c r="C57" t="s">
        <v>274</v>
      </c>
      <c r="D57" t="s">
        <v>274</v>
      </c>
    </row>
    <row r="58" spans="3:4">
      <c r="C58" t="s">
        <v>274</v>
      </c>
      <c r="D58" t="s">
        <v>274</v>
      </c>
    </row>
    <row r="59" spans="3:4">
      <c r="C59" t="s">
        <v>274</v>
      </c>
      <c r="D59" t="s">
        <v>274</v>
      </c>
    </row>
    <row r="60" spans="3:4">
      <c r="C60" t="s">
        <v>274</v>
      </c>
      <c r="D60" t="s">
        <v>274</v>
      </c>
    </row>
    <row r="61" spans="3:4">
      <c r="C61" t="s">
        <v>274</v>
      </c>
      <c r="D61" t="s">
        <v>274</v>
      </c>
    </row>
    <row r="62" spans="3:4">
      <c r="C62" t="s">
        <v>274</v>
      </c>
      <c r="D62" t="s">
        <v>274</v>
      </c>
    </row>
    <row r="63" spans="3:4">
      <c r="C63" t="s">
        <v>274</v>
      </c>
      <c r="D63" t="s">
        <v>274</v>
      </c>
    </row>
    <row r="64" spans="3:4">
      <c r="C64" t="s">
        <v>274</v>
      </c>
      <c r="D64" t="s">
        <v>274</v>
      </c>
    </row>
    <row r="65" spans="3:4">
      <c r="C65" t="s">
        <v>274</v>
      </c>
      <c r="D65" t="s">
        <v>274</v>
      </c>
    </row>
  </sheetData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272</v>
      </c>
      <c r="D7" t="s">
        <v>272</v>
      </c>
    </row>
    <row r="8" spans="3:4">
      <c r="C8" t="s">
        <v>272</v>
      </c>
      <c r="D8" t="s">
        <v>272</v>
      </c>
    </row>
    <row r="9" spans="3:4">
      <c r="C9" t="s">
        <v>272</v>
      </c>
      <c r="D9" t="s">
        <v>272</v>
      </c>
    </row>
    <row r="10" spans="3:4">
      <c r="C10" t="s">
        <v>272</v>
      </c>
      <c r="D10" t="s">
        <v>272</v>
      </c>
    </row>
    <row r="11" spans="3:4">
      <c r="C11" t="s">
        <v>272</v>
      </c>
      <c r="D11" t="s">
        <v>272</v>
      </c>
    </row>
    <row r="12" spans="3:4">
      <c r="C12" t="s">
        <v>272</v>
      </c>
      <c r="D12" t="s">
        <v>272</v>
      </c>
    </row>
    <row r="13" spans="3:4">
      <c r="C13" t="s">
        <v>272</v>
      </c>
      <c r="D13" t="s">
        <v>272</v>
      </c>
    </row>
    <row r="14" spans="3:4">
      <c r="C14" t="s">
        <v>272</v>
      </c>
      <c r="D14" t="s">
        <v>272</v>
      </c>
    </row>
    <row r="15" spans="3:4">
      <c r="C15" t="s">
        <v>272</v>
      </c>
      <c r="D15" t="s">
        <v>272</v>
      </c>
    </row>
    <row r="16" spans="3:4">
      <c r="C16" t="s">
        <v>272</v>
      </c>
      <c r="D16" t="s">
        <v>272</v>
      </c>
    </row>
    <row r="17" spans="3:4">
      <c r="C17" t="s">
        <v>272</v>
      </c>
      <c r="D17" t="s">
        <v>272</v>
      </c>
    </row>
    <row r="18" spans="3:4">
      <c r="C18" t="s">
        <v>272</v>
      </c>
      <c r="D18" t="s">
        <v>272</v>
      </c>
    </row>
    <row r="19" spans="3:4">
      <c r="C19" t="s">
        <v>272</v>
      </c>
      <c r="D19" t="s">
        <v>272</v>
      </c>
    </row>
    <row r="20" spans="3:4">
      <c r="C20" t="s">
        <v>272</v>
      </c>
      <c r="D20" t="s">
        <v>272</v>
      </c>
    </row>
    <row r="21" spans="3:4">
      <c r="C21" t="s">
        <v>272</v>
      </c>
      <c r="D21" t="s">
        <v>272</v>
      </c>
    </row>
    <row r="22" spans="3:4">
      <c r="C22" t="s">
        <v>272</v>
      </c>
      <c r="D22" t="s">
        <v>272</v>
      </c>
    </row>
    <row r="23" spans="3:4">
      <c r="C23" t="s">
        <v>272</v>
      </c>
      <c r="D23" t="s">
        <v>272</v>
      </c>
    </row>
    <row r="24" spans="3:4">
      <c r="C24" t="s">
        <v>272</v>
      </c>
      <c r="D24" t="s">
        <v>272</v>
      </c>
    </row>
    <row r="25" spans="3:4">
      <c r="C25" t="s">
        <v>272</v>
      </c>
      <c r="D25" t="s">
        <v>272</v>
      </c>
    </row>
    <row r="26" spans="3:4">
      <c r="C26" t="s">
        <v>272</v>
      </c>
      <c r="D26" t="s">
        <v>272</v>
      </c>
    </row>
    <row r="27" spans="3:4">
      <c r="C27" t="s">
        <v>272</v>
      </c>
      <c r="D27" t="s">
        <v>272</v>
      </c>
    </row>
    <row r="28" spans="3:4">
      <c r="C28" t="s">
        <v>272</v>
      </c>
      <c r="D28" t="s">
        <v>272</v>
      </c>
    </row>
    <row r="29" spans="3:4">
      <c r="C29" t="s">
        <v>272</v>
      </c>
      <c r="D29" t="s">
        <v>272</v>
      </c>
    </row>
    <row r="30" spans="3:4">
      <c r="C30" t="s">
        <v>272</v>
      </c>
      <c r="D30" t="s">
        <v>272</v>
      </c>
    </row>
    <row r="31" spans="3:4">
      <c r="C31" t="s">
        <v>272</v>
      </c>
      <c r="D31" t="s">
        <v>272</v>
      </c>
    </row>
    <row r="32" spans="3:4">
      <c r="C32" t="s">
        <v>272</v>
      </c>
      <c r="D32" t="s">
        <v>272</v>
      </c>
    </row>
    <row r="33" spans="3:4">
      <c r="C33" t="s">
        <v>272</v>
      </c>
      <c r="D33" t="s">
        <v>272</v>
      </c>
    </row>
    <row r="34" spans="3:4">
      <c r="C34" t="s">
        <v>272</v>
      </c>
      <c r="D34" t="s">
        <v>272</v>
      </c>
    </row>
    <row r="35" spans="3:4">
      <c r="C35" t="s">
        <v>272</v>
      </c>
      <c r="D35" t="s">
        <v>272</v>
      </c>
    </row>
    <row r="36" spans="3:4">
      <c r="C36" t="s">
        <v>272</v>
      </c>
      <c r="D36" t="s">
        <v>272</v>
      </c>
    </row>
    <row r="37" spans="3:4">
      <c r="C37" t="s">
        <v>272</v>
      </c>
      <c r="D37" t="s">
        <v>272</v>
      </c>
    </row>
    <row r="38" spans="3:4">
      <c r="C38" t="s">
        <v>272</v>
      </c>
      <c r="D38" t="s">
        <v>272</v>
      </c>
    </row>
    <row r="39" spans="3:4">
      <c r="C39" t="s">
        <v>272</v>
      </c>
      <c r="D39" t="s">
        <v>272</v>
      </c>
    </row>
    <row r="40" spans="3:4">
      <c r="C40" t="s">
        <v>272</v>
      </c>
      <c r="D40" t="s">
        <v>272</v>
      </c>
    </row>
    <row r="41" spans="3:4">
      <c r="C41" t="s">
        <v>272</v>
      </c>
      <c r="D41" t="s">
        <v>272</v>
      </c>
    </row>
    <row r="42" spans="3:4">
      <c r="C42" t="s">
        <v>272</v>
      </c>
      <c r="D42" t="s">
        <v>272</v>
      </c>
    </row>
    <row r="43" spans="3:4">
      <c r="C43" t="s">
        <v>272</v>
      </c>
      <c r="D43" t="s">
        <v>272</v>
      </c>
    </row>
    <row r="44" spans="3:4">
      <c r="C44" t="s">
        <v>272</v>
      </c>
      <c r="D44" t="s">
        <v>272</v>
      </c>
    </row>
    <row r="45" spans="3:4">
      <c r="C45" t="s">
        <v>272</v>
      </c>
      <c r="D45" t="s">
        <v>272</v>
      </c>
    </row>
    <row r="46" spans="3:4">
      <c r="C46" t="s">
        <v>272</v>
      </c>
      <c r="D46" t="s">
        <v>272</v>
      </c>
    </row>
    <row r="47" spans="3:4">
      <c r="C47" t="s">
        <v>272</v>
      </c>
      <c r="D47" t="s">
        <v>272</v>
      </c>
    </row>
    <row r="48" spans="3:4">
      <c r="C48" t="s">
        <v>272</v>
      </c>
      <c r="D48" t="s">
        <v>272</v>
      </c>
    </row>
    <row r="49" spans="3:4">
      <c r="C49" t="s">
        <v>272</v>
      </c>
      <c r="D49" t="s">
        <v>272</v>
      </c>
    </row>
    <row r="50" spans="3:4">
      <c r="C50" t="s">
        <v>272</v>
      </c>
      <c r="D50" t="s">
        <v>272</v>
      </c>
    </row>
    <row r="51" spans="3:4">
      <c r="C51" t="s">
        <v>272</v>
      </c>
      <c r="D51" t="s">
        <v>272</v>
      </c>
    </row>
    <row r="52" spans="3:4">
      <c r="C52" t="s">
        <v>272</v>
      </c>
      <c r="D52" t="s">
        <v>272</v>
      </c>
    </row>
    <row r="53" spans="3:4">
      <c r="C53" t="s">
        <v>272</v>
      </c>
      <c r="D53" t="s">
        <v>272</v>
      </c>
    </row>
    <row r="54" spans="3:4">
      <c r="C54" t="s">
        <v>272</v>
      </c>
      <c r="D54" t="s">
        <v>272</v>
      </c>
    </row>
    <row r="55" spans="3:4">
      <c r="C55" t="s">
        <v>272</v>
      </c>
      <c r="D55" t="s">
        <v>272</v>
      </c>
    </row>
    <row r="56" spans="3:4">
      <c r="C56" t="s">
        <v>272</v>
      </c>
      <c r="D56" t="s">
        <v>272</v>
      </c>
    </row>
    <row r="57" spans="3:4">
      <c r="C57" t="s">
        <v>272</v>
      </c>
      <c r="D57" t="s">
        <v>272</v>
      </c>
    </row>
    <row r="58" spans="3:4">
      <c r="C58" t="s">
        <v>272</v>
      </c>
      <c r="D58" t="s">
        <v>272</v>
      </c>
    </row>
    <row r="59" spans="3:4">
      <c r="C59" t="s">
        <v>272</v>
      </c>
      <c r="D59" t="s">
        <v>272</v>
      </c>
    </row>
    <row r="60" spans="3:4">
      <c r="C60" t="s">
        <v>272</v>
      </c>
      <c r="D60" t="s">
        <v>272</v>
      </c>
    </row>
    <row r="61" spans="3:4">
      <c r="C61" t="s">
        <v>272</v>
      </c>
      <c r="D61" t="s">
        <v>272</v>
      </c>
    </row>
    <row r="62" spans="3:4">
      <c r="C62" t="s">
        <v>272</v>
      </c>
      <c r="D62" t="s">
        <v>272</v>
      </c>
    </row>
    <row r="63" spans="3:4">
      <c r="C63" t="s">
        <v>272</v>
      </c>
      <c r="D63" t="s">
        <v>272</v>
      </c>
    </row>
    <row r="64" spans="3:4">
      <c r="C64" t="s">
        <v>272</v>
      </c>
      <c r="D64" t="s">
        <v>272</v>
      </c>
    </row>
    <row r="65" spans="3:4">
      <c r="C65" t="s">
        <v>272</v>
      </c>
      <c r="D65" t="s">
        <v>272</v>
      </c>
    </row>
  </sheetData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270</v>
      </c>
      <c r="D7" t="s">
        <v>270</v>
      </c>
    </row>
    <row r="8" spans="3:4">
      <c r="C8" t="s">
        <v>270</v>
      </c>
      <c r="D8" t="s">
        <v>270</v>
      </c>
    </row>
    <row r="9" spans="3:4">
      <c r="C9" t="s">
        <v>270</v>
      </c>
      <c r="D9" t="s">
        <v>270</v>
      </c>
    </row>
    <row r="10" spans="3:4">
      <c r="C10" t="s">
        <v>270</v>
      </c>
      <c r="D10" t="s">
        <v>270</v>
      </c>
    </row>
    <row r="11" spans="3:4">
      <c r="C11" t="s">
        <v>270</v>
      </c>
      <c r="D11" t="s">
        <v>270</v>
      </c>
    </row>
    <row r="12" spans="3:4">
      <c r="C12" t="s">
        <v>270</v>
      </c>
      <c r="D12" t="s">
        <v>270</v>
      </c>
    </row>
    <row r="13" spans="3:4">
      <c r="C13" t="s">
        <v>270</v>
      </c>
      <c r="D13" t="s">
        <v>270</v>
      </c>
    </row>
    <row r="14" spans="3:4">
      <c r="C14" t="s">
        <v>270</v>
      </c>
      <c r="D14" t="s">
        <v>270</v>
      </c>
    </row>
    <row r="15" spans="3:4">
      <c r="C15" t="s">
        <v>270</v>
      </c>
      <c r="D15" t="s">
        <v>270</v>
      </c>
    </row>
    <row r="16" spans="3:4">
      <c r="C16" t="s">
        <v>270</v>
      </c>
      <c r="D16" t="s">
        <v>270</v>
      </c>
    </row>
    <row r="17" spans="3:4">
      <c r="C17" t="s">
        <v>270</v>
      </c>
      <c r="D17" t="s">
        <v>270</v>
      </c>
    </row>
    <row r="18" spans="3:4">
      <c r="C18" t="s">
        <v>270</v>
      </c>
      <c r="D18" t="s">
        <v>270</v>
      </c>
    </row>
    <row r="19" spans="3:4">
      <c r="C19" t="s">
        <v>270</v>
      </c>
      <c r="D19" t="s">
        <v>270</v>
      </c>
    </row>
    <row r="20" spans="3:4">
      <c r="C20" t="s">
        <v>270</v>
      </c>
      <c r="D20" t="s">
        <v>270</v>
      </c>
    </row>
    <row r="21" spans="3:4">
      <c r="C21" t="s">
        <v>270</v>
      </c>
      <c r="D21" t="s">
        <v>270</v>
      </c>
    </row>
    <row r="22" spans="3:4">
      <c r="C22" t="s">
        <v>270</v>
      </c>
      <c r="D22" t="s">
        <v>270</v>
      </c>
    </row>
    <row r="23" spans="3:4">
      <c r="C23" t="s">
        <v>270</v>
      </c>
      <c r="D23" t="s">
        <v>270</v>
      </c>
    </row>
    <row r="24" spans="3:4">
      <c r="C24" t="s">
        <v>270</v>
      </c>
      <c r="D24" t="s">
        <v>270</v>
      </c>
    </row>
    <row r="25" spans="3:4">
      <c r="C25" t="s">
        <v>270</v>
      </c>
      <c r="D25" t="s">
        <v>270</v>
      </c>
    </row>
    <row r="26" spans="3:4">
      <c r="C26" t="s">
        <v>270</v>
      </c>
      <c r="D26" t="s">
        <v>270</v>
      </c>
    </row>
    <row r="27" spans="3:4">
      <c r="C27" t="s">
        <v>270</v>
      </c>
      <c r="D27" t="s">
        <v>270</v>
      </c>
    </row>
    <row r="28" spans="3:4">
      <c r="C28" t="s">
        <v>270</v>
      </c>
      <c r="D28" t="s">
        <v>270</v>
      </c>
    </row>
    <row r="29" spans="3:4">
      <c r="C29" t="s">
        <v>270</v>
      </c>
      <c r="D29" t="s">
        <v>270</v>
      </c>
    </row>
    <row r="30" spans="3:4">
      <c r="C30" t="s">
        <v>270</v>
      </c>
      <c r="D30" t="s">
        <v>270</v>
      </c>
    </row>
    <row r="31" spans="3:4">
      <c r="C31" t="s">
        <v>270</v>
      </c>
      <c r="D31" t="s">
        <v>270</v>
      </c>
    </row>
    <row r="32" spans="3:4">
      <c r="C32" t="s">
        <v>270</v>
      </c>
      <c r="D32" t="s">
        <v>270</v>
      </c>
    </row>
    <row r="33" spans="3:4">
      <c r="C33" t="s">
        <v>270</v>
      </c>
      <c r="D33" t="s">
        <v>270</v>
      </c>
    </row>
    <row r="34" spans="3:4">
      <c r="C34" t="s">
        <v>270</v>
      </c>
      <c r="D34" t="s">
        <v>270</v>
      </c>
    </row>
    <row r="35" spans="3:4">
      <c r="C35" t="s">
        <v>270</v>
      </c>
      <c r="D35" t="s">
        <v>270</v>
      </c>
    </row>
    <row r="36" spans="3:4">
      <c r="C36" t="s">
        <v>270</v>
      </c>
      <c r="D36" t="s">
        <v>270</v>
      </c>
    </row>
    <row r="37" spans="3:4">
      <c r="C37" t="s">
        <v>270</v>
      </c>
      <c r="D37" t="s">
        <v>270</v>
      </c>
    </row>
    <row r="38" spans="3:4">
      <c r="C38" t="s">
        <v>270</v>
      </c>
      <c r="D38" t="s">
        <v>270</v>
      </c>
    </row>
    <row r="39" spans="3:4">
      <c r="C39" t="s">
        <v>270</v>
      </c>
      <c r="D39" t="s">
        <v>270</v>
      </c>
    </row>
    <row r="40" spans="3:4">
      <c r="C40" t="s">
        <v>270</v>
      </c>
      <c r="D40" t="s">
        <v>270</v>
      </c>
    </row>
    <row r="41" spans="3:4">
      <c r="C41" t="s">
        <v>270</v>
      </c>
      <c r="D41" t="s">
        <v>270</v>
      </c>
    </row>
    <row r="42" spans="3:4">
      <c r="C42" t="s">
        <v>270</v>
      </c>
      <c r="D42" t="s">
        <v>270</v>
      </c>
    </row>
    <row r="43" spans="3:4">
      <c r="C43" t="s">
        <v>270</v>
      </c>
      <c r="D43" t="s">
        <v>270</v>
      </c>
    </row>
    <row r="44" spans="3:4">
      <c r="C44" t="s">
        <v>270</v>
      </c>
      <c r="D44" t="s">
        <v>270</v>
      </c>
    </row>
    <row r="45" spans="3:4">
      <c r="C45" t="s">
        <v>270</v>
      </c>
      <c r="D45" t="s">
        <v>270</v>
      </c>
    </row>
    <row r="46" spans="3:4">
      <c r="C46" t="s">
        <v>270</v>
      </c>
      <c r="D46" t="s">
        <v>270</v>
      </c>
    </row>
    <row r="47" spans="3:4">
      <c r="C47" t="s">
        <v>270</v>
      </c>
      <c r="D47" t="s">
        <v>270</v>
      </c>
    </row>
    <row r="48" spans="3:4">
      <c r="C48" t="s">
        <v>270</v>
      </c>
      <c r="D48" t="s">
        <v>270</v>
      </c>
    </row>
    <row r="49" spans="3:4">
      <c r="C49" t="s">
        <v>270</v>
      </c>
      <c r="D49" t="s">
        <v>270</v>
      </c>
    </row>
    <row r="50" spans="3:4">
      <c r="C50" t="s">
        <v>270</v>
      </c>
      <c r="D50" t="s">
        <v>270</v>
      </c>
    </row>
    <row r="51" spans="3:4">
      <c r="C51" t="s">
        <v>270</v>
      </c>
      <c r="D51" t="s">
        <v>270</v>
      </c>
    </row>
    <row r="52" spans="3:4">
      <c r="C52" t="s">
        <v>270</v>
      </c>
      <c r="D52" t="s">
        <v>270</v>
      </c>
    </row>
    <row r="53" spans="3:4">
      <c r="C53" t="s">
        <v>270</v>
      </c>
      <c r="D53" t="s">
        <v>270</v>
      </c>
    </row>
    <row r="54" spans="3:4">
      <c r="C54" t="s">
        <v>270</v>
      </c>
      <c r="D54" t="s">
        <v>270</v>
      </c>
    </row>
    <row r="55" spans="3:4">
      <c r="C55" t="s">
        <v>270</v>
      </c>
      <c r="D55" t="s">
        <v>270</v>
      </c>
    </row>
    <row r="56" spans="3:4">
      <c r="C56" t="s">
        <v>270</v>
      </c>
      <c r="D56" t="s">
        <v>270</v>
      </c>
    </row>
    <row r="57" spans="3:4">
      <c r="C57" t="s">
        <v>270</v>
      </c>
      <c r="D57" t="s">
        <v>270</v>
      </c>
    </row>
    <row r="58" spans="3:4">
      <c r="C58" t="s">
        <v>270</v>
      </c>
      <c r="D58" t="s">
        <v>270</v>
      </c>
    </row>
    <row r="59" spans="3:4">
      <c r="C59" t="s">
        <v>270</v>
      </c>
      <c r="D59" t="s">
        <v>270</v>
      </c>
    </row>
    <row r="60" spans="3:4">
      <c r="C60" t="s">
        <v>270</v>
      </c>
      <c r="D60" t="s">
        <v>270</v>
      </c>
    </row>
    <row r="61" spans="3:4">
      <c r="C61" t="s">
        <v>270</v>
      </c>
      <c r="D61" t="s">
        <v>270</v>
      </c>
    </row>
    <row r="62" spans="3:4">
      <c r="C62" t="s">
        <v>270</v>
      </c>
      <c r="D62" t="s">
        <v>270</v>
      </c>
    </row>
    <row r="63" spans="3:4">
      <c r="C63" t="s">
        <v>270</v>
      </c>
      <c r="D63" t="s">
        <v>270</v>
      </c>
    </row>
    <row r="64" spans="3:4">
      <c r="C64" t="s">
        <v>270</v>
      </c>
      <c r="D64" t="s">
        <v>270</v>
      </c>
    </row>
    <row r="65" spans="3:4">
      <c r="C65" t="s">
        <v>270</v>
      </c>
      <c r="D65" t="s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261"/>
  <sheetViews>
    <sheetView topLeftCell="A30" workbookViewId="0">
      <selection sqref="A1:D68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247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3925978.4699999997</v>
      </c>
      <c r="D8" s="11">
        <f>D9+D11+D14+D15</f>
        <v>3835201.15</v>
      </c>
    </row>
    <row r="9" spans="1:4" ht="30">
      <c r="A9" s="12" t="s">
        <v>90</v>
      </c>
      <c r="B9" s="13" t="s">
        <v>91</v>
      </c>
      <c r="C9" s="14">
        <f>3356004.79</f>
        <v>3356004.79</v>
      </c>
      <c r="D9" s="15">
        <f>3264149.88</f>
        <v>3264149.88</v>
      </c>
    </row>
    <row r="10" spans="1:4">
      <c r="A10" s="16" t="s">
        <v>92</v>
      </c>
      <c r="B10" s="17" t="s">
        <v>93</v>
      </c>
      <c r="C10" s="18">
        <f>2044302.6344086</f>
        <v>2044302.6344085999</v>
      </c>
      <c r="D10" s="19">
        <f>_32h_E12</f>
        <v>2044302.6344085999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569973.67999999993</v>
      </c>
      <c r="D15" s="15">
        <f>SUM(D16:D24)</f>
        <v>571051.27</v>
      </c>
    </row>
    <row r="16" spans="1:4">
      <c r="A16" s="22" t="s">
        <v>103</v>
      </c>
      <c r="B16" s="17" t="s">
        <v>104</v>
      </c>
      <c r="C16" s="111">
        <v>414395.16</v>
      </c>
      <c r="D16" s="113">
        <v>393617.76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86169.24</f>
        <v>86169.24</v>
      </c>
      <c r="D18" s="19">
        <f>108019.83</f>
        <v>108019.83</v>
      </c>
    </row>
    <row r="19" spans="1:4">
      <c r="A19" s="22" t="s">
        <v>109</v>
      </c>
      <c r="B19" s="17" t="s">
        <v>110</v>
      </c>
      <c r="C19" s="18">
        <f>11861.44</f>
        <v>11861.44</v>
      </c>
      <c r="D19" s="19">
        <f>11869.42</f>
        <v>11869.42</v>
      </c>
    </row>
    <row r="20" spans="1:4">
      <c r="A20" s="22" t="s">
        <v>111</v>
      </c>
      <c r="B20" s="17" t="s">
        <v>112</v>
      </c>
      <c r="C20" s="18">
        <f>8185.48</f>
        <v>8185.48</v>
      </c>
      <c r="D20" s="19">
        <f>8181.9</f>
        <v>8181.9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49362.36</f>
        <v>49362.36</v>
      </c>
      <c r="D22" s="19">
        <f>49362.36</f>
        <v>49362.36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1786571.1300000169</v>
      </c>
      <c r="D25" s="15">
        <f>D26+D27+D30+D28+D29+D31</f>
        <v>1745135.8200000003</v>
      </c>
    </row>
    <row r="26" spans="1:4" ht="21" customHeight="1">
      <c r="A26" s="24" t="s">
        <v>123</v>
      </c>
      <c r="B26" s="20" t="s">
        <v>124</v>
      </c>
      <c r="C26" s="18">
        <f>680223.84</f>
        <v>680223.84</v>
      </c>
      <c r="D26" s="19">
        <f>677389.55</f>
        <v>677389.55</v>
      </c>
    </row>
    <row r="27" spans="1:4" ht="45">
      <c r="A27" s="24" t="s">
        <v>125</v>
      </c>
      <c r="B27" s="20" t="s">
        <v>126</v>
      </c>
      <c r="C27" s="18">
        <f>52107.84</f>
        <v>52107.839999999997</v>
      </c>
      <c r="D27" s="19">
        <f>52107.99</f>
        <v>52107.99</v>
      </c>
    </row>
    <row r="28" spans="1:4" ht="33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67297.2</f>
        <v>67297.2</v>
      </c>
      <c r="D29" s="19">
        <f>66708.87</f>
        <v>66708.87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578486.250000017</v>
      </c>
      <c r="D31" s="15">
        <f>SUM(D32:D39)</f>
        <v>540473.41</v>
      </c>
    </row>
    <row r="32" spans="1:4" ht="17.2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70716.12</f>
        <v>70716.12</v>
      </c>
      <c r="D33" s="19">
        <f>84790.24</f>
        <v>84790.24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</f>
        <v>129630.1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5.25" customHeight="1">
      <c r="A39" s="24" t="s">
        <v>493</v>
      </c>
      <c r="B39" s="17" t="s">
        <v>150</v>
      </c>
      <c r="C39" s="18">
        <f>331074.970000017</f>
        <v>331074.97000001703</v>
      </c>
      <c r="D39" s="19">
        <f>280105.95</f>
        <v>280105.95</v>
      </c>
    </row>
    <row r="40" spans="1:4" ht="26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40319.520000000004</v>
      </c>
      <c r="D45" s="27">
        <f>SUM(D46:D48)</f>
        <v>44526.23</v>
      </c>
    </row>
    <row r="46" spans="1:4">
      <c r="A46" s="21" t="s">
        <v>163</v>
      </c>
      <c r="B46" s="17" t="s">
        <v>164</v>
      </c>
      <c r="C46" s="18">
        <f>38998.8</f>
        <v>38998.800000000003</v>
      </c>
      <c r="D46" s="19">
        <f>43205.51</f>
        <v>43205.51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454915.08</f>
        <v>454915.08</v>
      </c>
      <c r="D49" s="30">
        <f>582921</f>
        <v>582921</v>
      </c>
    </row>
    <row r="50" spans="1:4">
      <c r="A50" s="8" t="s">
        <v>169</v>
      </c>
      <c r="B50" s="9" t="s">
        <v>170</v>
      </c>
      <c r="C50" s="14">
        <f>C8+C25+C40+C41+C42+C43+C44+C45+C49+C51+C52</f>
        <v>6207784.200000016</v>
      </c>
      <c r="D50" s="15">
        <f>D8+D25+D40+D41+D42+D43+D44+D45+D49+D51+D52</f>
        <v>6207784.2000000011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3781583.04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3607557.48</f>
        <v>3607557.48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174025.56</f>
        <v>174025.56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1916076</f>
        <v>1916076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5697659.04</v>
      </c>
      <c r="D59" s="27">
        <f>D54+D57+D58</f>
        <v>0</v>
      </c>
    </row>
    <row r="60" spans="1:4" ht="25.5">
      <c r="A60" s="33" t="s">
        <v>188</v>
      </c>
      <c r="B60" s="9"/>
      <c r="C60" s="34">
        <v>23043</v>
      </c>
      <c r="D60" s="35">
        <v>23043</v>
      </c>
    </row>
    <row r="61" spans="1:4" ht="15.75" thickBot="1">
      <c r="A61" s="36" t="s">
        <v>189</v>
      </c>
      <c r="B61" s="37"/>
      <c r="C61" s="38">
        <f>(C50+C51+C52)/C60/12</f>
        <v>22.45000000000006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268</v>
      </c>
      <c r="D7" t="s">
        <v>268</v>
      </c>
    </row>
    <row r="8" spans="3:4">
      <c r="C8" t="s">
        <v>268</v>
      </c>
      <c r="D8" t="s">
        <v>268</v>
      </c>
    </row>
    <row r="9" spans="3:4">
      <c r="C9" t="s">
        <v>268</v>
      </c>
      <c r="D9" t="s">
        <v>268</v>
      </c>
    </row>
    <row r="10" spans="3:4">
      <c r="C10" t="s">
        <v>268</v>
      </c>
      <c r="D10" t="s">
        <v>268</v>
      </c>
    </row>
    <row r="11" spans="3:4">
      <c r="C11" t="s">
        <v>268</v>
      </c>
      <c r="D11" t="s">
        <v>268</v>
      </c>
    </row>
    <row r="12" spans="3:4">
      <c r="C12" t="s">
        <v>268</v>
      </c>
      <c r="D12" t="s">
        <v>268</v>
      </c>
    </row>
    <row r="13" spans="3:4">
      <c r="C13" t="s">
        <v>268</v>
      </c>
      <c r="D13" t="s">
        <v>268</v>
      </c>
    </row>
    <row r="14" spans="3:4">
      <c r="C14" t="s">
        <v>268</v>
      </c>
      <c r="D14" t="s">
        <v>268</v>
      </c>
    </row>
    <row r="15" spans="3:4">
      <c r="C15" t="s">
        <v>268</v>
      </c>
      <c r="D15" t="s">
        <v>268</v>
      </c>
    </row>
    <row r="16" spans="3:4">
      <c r="C16" t="s">
        <v>268</v>
      </c>
      <c r="D16" t="s">
        <v>268</v>
      </c>
    </row>
    <row r="17" spans="3:4">
      <c r="C17" t="s">
        <v>268</v>
      </c>
      <c r="D17" t="s">
        <v>268</v>
      </c>
    </row>
    <row r="18" spans="3:4">
      <c r="C18" t="s">
        <v>268</v>
      </c>
      <c r="D18" t="s">
        <v>268</v>
      </c>
    </row>
    <row r="19" spans="3:4">
      <c r="C19" t="s">
        <v>268</v>
      </c>
      <c r="D19" t="s">
        <v>268</v>
      </c>
    </row>
    <row r="20" spans="3:4">
      <c r="C20" t="s">
        <v>268</v>
      </c>
      <c r="D20" t="s">
        <v>268</v>
      </c>
    </row>
    <row r="21" spans="3:4">
      <c r="C21" t="s">
        <v>268</v>
      </c>
      <c r="D21" t="s">
        <v>268</v>
      </c>
    </row>
    <row r="22" spans="3:4">
      <c r="C22" t="s">
        <v>268</v>
      </c>
      <c r="D22" t="s">
        <v>268</v>
      </c>
    </row>
    <row r="23" spans="3:4">
      <c r="C23" t="s">
        <v>268</v>
      </c>
      <c r="D23" t="s">
        <v>268</v>
      </c>
    </row>
    <row r="24" spans="3:4">
      <c r="C24" t="s">
        <v>268</v>
      </c>
      <c r="D24" t="s">
        <v>268</v>
      </c>
    </row>
    <row r="25" spans="3:4">
      <c r="C25" t="s">
        <v>268</v>
      </c>
      <c r="D25" t="s">
        <v>268</v>
      </c>
    </row>
    <row r="26" spans="3:4">
      <c r="C26" t="s">
        <v>268</v>
      </c>
      <c r="D26" t="s">
        <v>268</v>
      </c>
    </row>
    <row r="27" spans="3:4">
      <c r="C27" t="s">
        <v>268</v>
      </c>
      <c r="D27" t="s">
        <v>268</v>
      </c>
    </row>
    <row r="28" spans="3:4">
      <c r="C28" t="s">
        <v>268</v>
      </c>
      <c r="D28" t="s">
        <v>268</v>
      </c>
    </row>
    <row r="29" spans="3:4">
      <c r="C29" t="s">
        <v>268</v>
      </c>
      <c r="D29" t="s">
        <v>268</v>
      </c>
    </row>
    <row r="30" spans="3:4">
      <c r="C30" t="s">
        <v>268</v>
      </c>
      <c r="D30" t="s">
        <v>268</v>
      </c>
    </row>
    <row r="31" spans="3:4">
      <c r="C31" t="s">
        <v>268</v>
      </c>
      <c r="D31" t="s">
        <v>268</v>
      </c>
    </row>
    <row r="32" spans="3:4">
      <c r="C32" t="s">
        <v>268</v>
      </c>
      <c r="D32" t="s">
        <v>268</v>
      </c>
    </row>
    <row r="33" spans="3:4">
      <c r="C33" t="s">
        <v>268</v>
      </c>
      <c r="D33" t="s">
        <v>268</v>
      </c>
    </row>
    <row r="34" spans="3:4">
      <c r="C34" t="s">
        <v>268</v>
      </c>
      <c r="D34" t="s">
        <v>268</v>
      </c>
    </row>
    <row r="35" spans="3:4">
      <c r="C35" t="s">
        <v>268</v>
      </c>
      <c r="D35" t="s">
        <v>268</v>
      </c>
    </row>
    <row r="36" spans="3:4">
      <c r="C36" t="s">
        <v>268</v>
      </c>
      <c r="D36" t="s">
        <v>268</v>
      </c>
    </row>
    <row r="37" spans="3:4">
      <c r="C37" t="s">
        <v>268</v>
      </c>
      <c r="D37" t="s">
        <v>268</v>
      </c>
    </row>
    <row r="38" spans="3:4">
      <c r="C38" t="s">
        <v>268</v>
      </c>
      <c r="D38" t="s">
        <v>268</v>
      </c>
    </row>
    <row r="39" spans="3:4">
      <c r="C39" t="s">
        <v>268</v>
      </c>
      <c r="D39" t="s">
        <v>268</v>
      </c>
    </row>
    <row r="40" spans="3:4">
      <c r="C40" t="s">
        <v>268</v>
      </c>
      <c r="D40" t="s">
        <v>268</v>
      </c>
    </row>
    <row r="41" spans="3:4">
      <c r="C41" t="s">
        <v>268</v>
      </c>
      <c r="D41" t="s">
        <v>268</v>
      </c>
    </row>
    <row r="42" spans="3:4">
      <c r="C42" t="s">
        <v>268</v>
      </c>
      <c r="D42" t="s">
        <v>268</v>
      </c>
    </row>
    <row r="43" spans="3:4">
      <c r="C43" t="s">
        <v>268</v>
      </c>
      <c r="D43" t="s">
        <v>268</v>
      </c>
    </row>
    <row r="44" spans="3:4">
      <c r="C44" t="s">
        <v>268</v>
      </c>
      <c r="D44" t="s">
        <v>268</v>
      </c>
    </row>
    <row r="45" spans="3:4">
      <c r="C45" t="s">
        <v>268</v>
      </c>
      <c r="D45" t="s">
        <v>268</v>
      </c>
    </row>
    <row r="46" spans="3:4">
      <c r="C46" t="s">
        <v>268</v>
      </c>
      <c r="D46" t="s">
        <v>268</v>
      </c>
    </row>
    <row r="47" spans="3:4">
      <c r="C47" t="s">
        <v>268</v>
      </c>
      <c r="D47" t="s">
        <v>268</v>
      </c>
    </row>
    <row r="48" spans="3:4">
      <c r="C48" t="s">
        <v>268</v>
      </c>
      <c r="D48" t="s">
        <v>268</v>
      </c>
    </row>
    <row r="49" spans="3:4">
      <c r="C49" t="s">
        <v>268</v>
      </c>
      <c r="D49" t="s">
        <v>268</v>
      </c>
    </row>
    <row r="50" spans="3:4">
      <c r="C50" t="s">
        <v>268</v>
      </c>
      <c r="D50" t="s">
        <v>268</v>
      </c>
    </row>
    <row r="51" spans="3:4">
      <c r="C51" t="s">
        <v>268</v>
      </c>
      <c r="D51" t="s">
        <v>268</v>
      </c>
    </row>
    <row r="52" spans="3:4">
      <c r="C52" t="s">
        <v>268</v>
      </c>
      <c r="D52" t="s">
        <v>268</v>
      </c>
    </row>
    <row r="53" spans="3:4">
      <c r="C53" t="s">
        <v>268</v>
      </c>
      <c r="D53" t="s">
        <v>268</v>
      </c>
    </row>
    <row r="54" spans="3:4">
      <c r="C54" t="s">
        <v>268</v>
      </c>
      <c r="D54" t="s">
        <v>268</v>
      </c>
    </row>
    <row r="55" spans="3:4">
      <c r="C55" t="s">
        <v>268</v>
      </c>
      <c r="D55" t="s">
        <v>268</v>
      </c>
    </row>
    <row r="56" spans="3:4">
      <c r="C56" t="s">
        <v>268</v>
      </c>
      <c r="D56" t="s">
        <v>268</v>
      </c>
    </row>
    <row r="57" spans="3:4">
      <c r="C57" t="s">
        <v>268</v>
      </c>
      <c r="D57" t="s">
        <v>268</v>
      </c>
    </row>
    <row r="58" spans="3:4">
      <c r="C58" t="s">
        <v>268</v>
      </c>
      <c r="D58" t="s">
        <v>268</v>
      </c>
    </row>
    <row r="59" spans="3:4">
      <c r="C59" t="s">
        <v>268</v>
      </c>
      <c r="D59" t="s">
        <v>268</v>
      </c>
    </row>
    <row r="60" spans="3:4">
      <c r="C60" t="s">
        <v>268</v>
      </c>
      <c r="D60" t="s">
        <v>268</v>
      </c>
    </row>
    <row r="61" spans="3:4">
      <c r="C61" t="s">
        <v>268</v>
      </c>
      <c r="D61" t="s">
        <v>268</v>
      </c>
    </row>
    <row r="62" spans="3:4">
      <c r="C62" t="s">
        <v>268</v>
      </c>
      <c r="D62" t="s">
        <v>268</v>
      </c>
    </row>
    <row r="63" spans="3:4">
      <c r="C63" t="s">
        <v>268</v>
      </c>
      <c r="D63" t="s">
        <v>268</v>
      </c>
    </row>
    <row r="64" spans="3:4">
      <c r="C64" t="s">
        <v>268</v>
      </c>
      <c r="D64" t="s">
        <v>268</v>
      </c>
    </row>
    <row r="65" spans="3:4">
      <c r="C65" t="s">
        <v>268</v>
      </c>
      <c r="D65" t="s">
        <v>268</v>
      </c>
    </row>
  </sheetData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266</v>
      </c>
      <c r="D7" t="s">
        <v>266</v>
      </c>
    </row>
    <row r="8" spans="3:4">
      <c r="C8" t="s">
        <v>266</v>
      </c>
      <c r="D8" t="s">
        <v>266</v>
      </c>
    </row>
    <row r="9" spans="3:4">
      <c r="C9" t="s">
        <v>266</v>
      </c>
      <c r="D9" t="s">
        <v>266</v>
      </c>
    </row>
    <row r="10" spans="3:4">
      <c r="C10" t="s">
        <v>266</v>
      </c>
      <c r="D10" t="s">
        <v>266</v>
      </c>
    </row>
    <row r="11" spans="3:4">
      <c r="C11" t="s">
        <v>266</v>
      </c>
      <c r="D11" t="s">
        <v>266</v>
      </c>
    </row>
    <row r="12" spans="3:4">
      <c r="C12" t="s">
        <v>266</v>
      </c>
      <c r="D12" t="s">
        <v>266</v>
      </c>
    </row>
    <row r="13" spans="3:4">
      <c r="C13" t="s">
        <v>266</v>
      </c>
      <c r="D13" t="s">
        <v>266</v>
      </c>
    </row>
    <row r="14" spans="3:4">
      <c r="C14" t="s">
        <v>266</v>
      </c>
      <c r="D14" t="s">
        <v>266</v>
      </c>
    </row>
    <row r="15" spans="3:4">
      <c r="C15" t="s">
        <v>266</v>
      </c>
      <c r="D15" t="s">
        <v>266</v>
      </c>
    </row>
    <row r="16" spans="3:4">
      <c r="C16" t="s">
        <v>266</v>
      </c>
      <c r="D16" t="s">
        <v>266</v>
      </c>
    </row>
    <row r="17" spans="3:4">
      <c r="C17" t="s">
        <v>266</v>
      </c>
      <c r="D17" t="s">
        <v>266</v>
      </c>
    </row>
    <row r="18" spans="3:4">
      <c r="C18" t="s">
        <v>266</v>
      </c>
      <c r="D18" t="s">
        <v>266</v>
      </c>
    </row>
    <row r="19" spans="3:4">
      <c r="C19" t="s">
        <v>266</v>
      </c>
      <c r="D19" t="s">
        <v>266</v>
      </c>
    </row>
    <row r="20" spans="3:4">
      <c r="C20" t="s">
        <v>266</v>
      </c>
      <c r="D20" t="s">
        <v>266</v>
      </c>
    </row>
    <row r="21" spans="3:4">
      <c r="C21" t="s">
        <v>266</v>
      </c>
      <c r="D21" t="s">
        <v>266</v>
      </c>
    </row>
    <row r="22" spans="3:4">
      <c r="C22" t="s">
        <v>266</v>
      </c>
      <c r="D22" t="s">
        <v>266</v>
      </c>
    </row>
    <row r="23" spans="3:4">
      <c r="C23" t="s">
        <v>266</v>
      </c>
      <c r="D23" t="s">
        <v>266</v>
      </c>
    </row>
    <row r="24" spans="3:4">
      <c r="C24" t="s">
        <v>266</v>
      </c>
      <c r="D24" t="s">
        <v>266</v>
      </c>
    </row>
    <row r="25" spans="3:4">
      <c r="C25" t="s">
        <v>266</v>
      </c>
      <c r="D25" t="s">
        <v>266</v>
      </c>
    </row>
    <row r="26" spans="3:4">
      <c r="C26" t="s">
        <v>266</v>
      </c>
      <c r="D26" t="s">
        <v>266</v>
      </c>
    </row>
    <row r="27" spans="3:4">
      <c r="C27" t="s">
        <v>266</v>
      </c>
      <c r="D27" t="s">
        <v>266</v>
      </c>
    </row>
    <row r="28" spans="3:4">
      <c r="C28" t="s">
        <v>266</v>
      </c>
      <c r="D28" t="s">
        <v>266</v>
      </c>
    </row>
    <row r="29" spans="3:4">
      <c r="C29" t="s">
        <v>266</v>
      </c>
      <c r="D29" t="s">
        <v>266</v>
      </c>
    </row>
    <row r="30" spans="3:4">
      <c r="C30" t="s">
        <v>266</v>
      </c>
      <c r="D30" t="s">
        <v>266</v>
      </c>
    </row>
    <row r="31" spans="3:4">
      <c r="C31" t="s">
        <v>266</v>
      </c>
      <c r="D31" t="s">
        <v>266</v>
      </c>
    </row>
    <row r="32" spans="3:4">
      <c r="C32" t="s">
        <v>266</v>
      </c>
      <c r="D32" t="s">
        <v>266</v>
      </c>
    </row>
    <row r="33" spans="3:4">
      <c r="C33" t="s">
        <v>266</v>
      </c>
      <c r="D33" t="s">
        <v>266</v>
      </c>
    </row>
    <row r="34" spans="3:4">
      <c r="C34" t="s">
        <v>266</v>
      </c>
      <c r="D34" t="s">
        <v>266</v>
      </c>
    </row>
    <row r="35" spans="3:4">
      <c r="C35" t="s">
        <v>266</v>
      </c>
      <c r="D35" t="s">
        <v>266</v>
      </c>
    </row>
    <row r="36" spans="3:4">
      <c r="C36" t="s">
        <v>266</v>
      </c>
      <c r="D36" t="s">
        <v>266</v>
      </c>
    </row>
    <row r="37" spans="3:4">
      <c r="C37" t="s">
        <v>266</v>
      </c>
      <c r="D37" t="s">
        <v>266</v>
      </c>
    </row>
    <row r="38" spans="3:4">
      <c r="C38" t="s">
        <v>266</v>
      </c>
      <c r="D38" t="s">
        <v>266</v>
      </c>
    </row>
    <row r="39" spans="3:4">
      <c r="C39" t="s">
        <v>266</v>
      </c>
      <c r="D39" t="s">
        <v>266</v>
      </c>
    </row>
    <row r="40" spans="3:4">
      <c r="C40" t="s">
        <v>266</v>
      </c>
      <c r="D40" t="s">
        <v>266</v>
      </c>
    </row>
    <row r="41" spans="3:4">
      <c r="C41" t="s">
        <v>266</v>
      </c>
      <c r="D41" t="s">
        <v>266</v>
      </c>
    </row>
    <row r="42" spans="3:4">
      <c r="C42" t="s">
        <v>266</v>
      </c>
      <c r="D42" t="s">
        <v>266</v>
      </c>
    </row>
    <row r="43" spans="3:4">
      <c r="C43" t="s">
        <v>266</v>
      </c>
      <c r="D43" t="s">
        <v>266</v>
      </c>
    </row>
    <row r="44" spans="3:4">
      <c r="C44" t="s">
        <v>266</v>
      </c>
      <c r="D44" t="s">
        <v>266</v>
      </c>
    </row>
    <row r="45" spans="3:4">
      <c r="C45" t="s">
        <v>266</v>
      </c>
      <c r="D45" t="s">
        <v>266</v>
      </c>
    </row>
    <row r="46" spans="3:4">
      <c r="C46" t="s">
        <v>266</v>
      </c>
      <c r="D46" t="s">
        <v>266</v>
      </c>
    </row>
    <row r="47" spans="3:4">
      <c r="C47" t="s">
        <v>266</v>
      </c>
      <c r="D47" t="s">
        <v>266</v>
      </c>
    </row>
    <row r="48" spans="3:4">
      <c r="C48" t="s">
        <v>266</v>
      </c>
      <c r="D48" t="s">
        <v>266</v>
      </c>
    </row>
    <row r="49" spans="3:4">
      <c r="C49" t="s">
        <v>266</v>
      </c>
      <c r="D49" t="s">
        <v>266</v>
      </c>
    </row>
    <row r="50" spans="3:4">
      <c r="C50" t="s">
        <v>266</v>
      </c>
      <c r="D50" t="s">
        <v>266</v>
      </c>
    </row>
    <row r="51" spans="3:4">
      <c r="C51" t="s">
        <v>266</v>
      </c>
      <c r="D51" t="s">
        <v>266</v>
      </c>
    </row>
    <row r="52" spans="3:4">
      <c r="C52" t="s">
        <v>266</v>
      </c>
      <c r="D52" t="s">
        <v>266</v>
      </c>
    </row>
    <row r="53" spans="3:4">
      <c r="C53" t="s">
        <v>266</v>
      </c>
      <c r="D53" t="s">
        <v>266</v>
      </c>
    </row>
    <row r="54" spans="3:4">
      <c r="C54" t="s">
        <v>266</v>
      </c>
      <c r="D54" t="s">
        <v>266</v>
      </c>
    </row>
    <row r="55" spans="3:4">
      <c r="C55" t="s">
        <v>266</v>
      </c>
      <c r="D55" t="s">
        <v>266</v>
      </c>
    </row>
    <row r="56" spans="3:4">
      <c r="C56" t="s">
        <v>266</v>
      </c>
      <c r="D56" t="s">
        <v>266</v>
      </c>
    </row>
    <row r="57" spans="3:4">
      <c r="C57" t="s">
        <v>266</v>
      </c>
      <c r="D57" t="s">
        <v>266</v>
      </c>
    </row>
    <row r="58" spans="3:4">
      <c r="C58" t="s">
        <v>266</v>
      </c>
      <c r="D58" t="s">
        <v>266</v>
      </c>
    </row>
    <row r="59" spans="3:4">
      <c r="C59" t="s">
        <v>266</v>
      </c>
      <c r="D59" t="s">
        <v>266</v>
      </c>
    </row>
    <row r="60" spans="3:4">
      <c r="C60" t="s">
        <v>266</v>
      </c>
      <c r="D60" t="s">
        <v>266</v>
      </c>
    </row>
    <row r="61" spans="3:4">
      <c r="C61" t="s">
        <v>266</v>
      </c>
      <c r="D61" t="s">
        <v>266</v>
      </c>
    </row>
    <row r="62" spans="3:4">
      <c r="C62" t="s">
        <v>266</v>
      </c>
      <c r="D62" t="s">
        <v>266</v>
      </c>
    </row>
    <row r="63" spans="3:4">
      <c r="C63" t="s">
        <v>266</v>
      </c>
      <c r="D63" t="s">
        <v>266</v>
      </c>
    </row>
    <row r="64" spans="3:4">
      <c r="C64" t="s">
        <v>266</v>
      </c>
      <c r="D64" t="s">
        <v>266</v>
      </c>
    </row>
    <row r="65" spans="3:4">
      <c r="C65" t="s">
        <v>266</v>
      </c>
      <c r="D65" t="s">
        <v>266</v>
      </c>
    </row>
  </sheetData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264</v>
      </c>
      <c r="D7" t="s">
        <v>264</v>
      </c>
    </row>
    <row r="8" spans="3:4">
      <c r="C8" t="s">
        <v>264</v>
      </c>
      <c r="D8" t="s">
        <v>264</v>
      </c>
    </row>
    <row r="9" spans="3:4">
      <c r="C9" t="s">
        <v>264</v>
      </c>
      <c r="D9" t="s">
        <v>264</v>
      </c>
    </row>
    <row r="10" spans="3:4">
      <c r="C10" t="s">
        <v>264</v>
      </c>
      <c r="D10" t="s">
        <v>264</v>
      </c>
    </row>
    <row r="11" spans="3:4">
      <c r="C11" t="s">
        <v>264</v>
      </c>
      <c r="D11" t="s">
        <v>264</v>
      </c>
    </row>
    <row r="12" spans="3:4">
      <c r="C12" t="s">
        <v>264</v>
      </c>
      <c r="D12" t="s">
        <v>264</v>
      </c>
    </row>
    <row r="13" spans="3:4">
      <c r="C13" t="s">
        <v>264</v>
      </c>
      <c r="D13" t="s">
        <v>264</v>
      </c>
    </row>
    <row r="14" spans="3:4">
      <c r="C14" t="s">
        <v>264</v>
      </c>
      <c r="D14" t="s">
        <v>264</v>
      </c>
    </row>
    <row r="15" spans="3:4">
      <c r="C15" t="s">
        <v>264</v>
      </c>
      <c r="D15" t="s">
        <v>264</v>
      </c>
    </row>
    <row r="16" spans="3:4">
      <c r="C16" t="s">
        <v>264</v>
      </c>
      <c r="D16" t="s">
        <v>264</v>
      </c>
    </row>
    <row r="17" spans="3:4">
      <c r="C17" t="s">
        <v>264</v>
      </c>
      <c r="D17" t="s">
        <v>264</v>
      </c>
    </row>
    <row r="18" spans="3:4">
      <c r="C18" t="s">
        <v>264</v>
      </c>
      <c r="D18" t="s">
        <v>264</v>
      </c>
    </row>
    <row r="19" spans="3:4">
      <c r="C19" t="s">
        <v>264</v>
      </c>
      <c r="D19" t="s">
        <v>264</v>
      </c>
    </row>
    <row r="20" spans="3:4">
      <c r="C20" t="s">
        <v>264</v>
      </c>
      <c r="D20" t="s">
        <v>264</v>
      </c>
    </row>
    <row r="21" spans="3:4">
      <c r="C21" t="s">
        <v>264</v>
      </c>
      <c r="D21" t="s">
        <v>264</v>
      </c>
    </row>
    <row r="22" spans="3:4">
      <c r="C22" t="s">
        <v>264</v>
      </c>
      <c r="D22" t="s">
        <v>264</v>
      </c>
    </row>
    <row r="23" spans="3:4">
      <c r="C23" t="s">
        <v>264</v>
      </c>
      <c r="D23" t="s">
        <v>264</v>
      </c>
    </row>
    <row r="24" spans="3:4">
      <c r="C24" t="s">
        <v>264</v>
      </c>
      <c r="D24" t="s">
        <v>264</v>
      </c>
    </row>
    <row r="25" spans="3:4">
      <c r="C25" t="s">
        <v>264</v>
      </c>
      <c r="D25" t="s">
        <v>264</v>
      </c>
    </row>
    <row r="26" spans="3:4">
      <c r="C26" t="s">
        <v>264</v>
      </c>
      <c r="D26" t="s">
        <v>264</v>
      </c>
    </row>
    <row r="27" spans="3:4">
      <c r="C27" t="s">
        <v>264</v>
      </c>
      <c r="D27" t="s">
        <v>264</v>
      </c>
    </row>
    <row r="28" spans="3:4">
      <c r="C28" t="s">
        <v>264</v>
      </c>
      <c r="D28" t="s">
        <v>264</v>
      </c>
    </row>
    <row r="29" spans="3:4">
      <c r="C29" t="s">
        <v>264</v>
      </c>
      <c r="D29" t="s">
        <v>264</v>
      </c>
    </row>
    <row r="30" spans="3:4">
      <c r="C30" t="s">
        <v>264</v>
      </c>
      <c r="D30" t="s">
        <v>264</v>
      </c>
    </row>
    <row r="31" spans="3:4">
      <c r="C31" t="s">
        <v>264</v>
      </c>
      <c r="D31" t="s">
        <v>264</v>
      </c>
    </row>
    <row r="32" spans="3:4">
      <c r="C32" t="s">
        <v>264</v>
      </c>
      <c r="D32" t="s">
        <v>264</v>
      </c>
    </row>
    <row r="33" spans="3:4">
      <c r="C33" t="s">
        <v>264</v>
      </c>
      <c r="D33" t="s">
        <v>264</v>
      </c>
    </row>
    <row r="34" spans="3:4">
      <c r="C34" t="s">
        <v>264</v>
      </c>
      <c r="D34" t="s">
        <v>264</v>
      </c>
    </row>
    <row r="35" spans="3:4">
      <c r="C35" t="s">
        <v>264</v>
      </c>
      <c r="D35" t="s">
        <v>264</v>
      </c>
    </row>
    <row r="36" spans="3:4">
      <c r="C36" t="s">
        <v>264</v>
      </c>
      <c r="D36" t="s">
        <v>264</v>
      </c>
    </row>
    <row r="37" spans="3:4">
      <c r="C37" t="s">
        <v>264</v>
      </c>
      <c r="D37" t="s">
        <v>264</v>
      </c>
    </row>
    <row r="38" spans="3:4">
      <c r="C38" t="s">
        <v>264</v>
      </c>
      <c r="D38" t="s">
        <v>264</v>
      </c>
    </row>
    <row r="39" spans="3:4">
      <c r="C39" t="s">
        <v>264</v>
      </c>
      <c r="D39" t="s">
        <v>264</v>
      </c>
    </row>
    <row r="40" spans="3:4">
      <c r="C40" t="s">
        <v>264</v>
      </c>
      <c r="D40" t="s">
        <v>264</v>
      </c>
    </row>
    <row r="41" spans="3:4">
      <c r="C41" t="s">
        <v>264</v>
      </c>
      <c r="D41" t="s">
        <v>264</v>
      </c>
    </row>
    <row r="42" spans="3:4">
      <c r="C42" t="s">
        <v>264</v>
      </c>
      <c r="D42" t="s">
        <v>264</v>
      </c>
    </row>
    <row r="43" spans="3:4">
      <c r="C43" t="s">
        <v>264</v>
      </c>
      <c r="D43" t="s">
        <v>264</v>
      </c>
    </row>
    <row r="44" spans="3:4">
      <c r="C44" t="s">
        <v>264</v>
      </c>
      <c r="D44" t="s">
        <v>264</v>
      </c>
    </row>
    <row r="45" spans="3:4">
      <c r="C45" t="s">
        <v>264</v>
      </c>
      <c r="D45" t="s">
        <v>264</v>
      </c>
    </row>
    <row r="46" spans="3:4">
      <c r="C46" t="s">
        <v>264</v>
      </c>
      <c r="D46" t="s">
        <v>264</v>
      </c>
    </row>
    <row r="47" spans="3:4">
      <c r="C47" t="s">
        <v>264</v>
      </c>
      <c r="D47" t="s">
        <v>264</v>
      </c>
    </row>
    <row r="48" spans="3:4">
      <c r="C48" t="s">
        <v>264</v>
      </c>
      <c r="D48" t="s">
        <v>264</v>
      </c>
    </row>
    <row r="49" spans="3:4">
      <c r="C49" t="s">
        <v>264</v>
      </c>
      <c r="D49" t="s">
        <v>264</v>
      </c>
    </row>
    <row r="50" spans="3:4">
      <c r="C50" t="s">
        <v>264</v>
      </c>
      <c r="D50" t="s">
        <v>264</v>
      </c>
    </row>
    <row r="51" spans="3:4">
      <c r="C51" t="s">
        <v>264</v>
      </c>
      <c r="D51" t="s">
        <v>264</v>
      </c>
    </row>
    <row r="52" spans="3:4">
      <c r="C52" t="s">
        <v>264</v>
      </c>
      <c r="D52" t="s">
        <v>264</v>
      </c>
    </row>
    <row r="53" spans="3:4">
      <c r="C53" t="s">
        <v>264</v>
      </c>
      <c r="D53" t="s">
        <v>264</v>
      </c>
    </row>
    <row r="54" spans="3:4">
      <c r="C54" t="s">
        <v>264</v>
      </c>
      <c r="D54" t="s">
        <v>264</v>
      </c>
    </row>
    <row r="55" spans="3:4">
      <c r="C55" t="s">
        <v>264</v>
      </c>
      <c r="D55" t="s">
        <v>264</v>
      </c>
    </row>
    <row r="56" spans="3:4">
      <c r="C56" t="s">
        <v>264</v>
      </c>
      <c r="D56" t="s">
        <v>264</v>
      </c>
    </row>
    <row r="57" spans="3:4">
      <c r="C57" t="s">
        <v>264</v>
      </c>
      <c r="D57" t="s">
        <v>264</v>
      </c>
    </row>
    <row r="58" spans="3:4">
      <c r="C58" t="s">
        <v>264</v>
      </c>
      <c r="D58" t="s">
        <v>264</v>
      </c>
    </row>
    <row r="59" spans="3:4">
      <c r="C59" t="s">
        <v>264</v>
      </c>
      <c r="D59" t="s">
        <v>264</v>
      </c>
    </row>
    <row r="60" spans="3:4">
      <c r="C60" t="s">
        <v>264</v>
      </c>
      <c r="D60" t="s">
        <v>264</v>
      </c>
    </row>
    <row r="61" spans="3:4">
      <c r="C61" t="s">
        <v>264</v>
      </c>
      <c r="D61" t="s">
        <v>264</v>
      </c>
    </row>
    <row r="62" spans="3:4">
      <c r="C62" t="s">
        <v>264</v>
      </c>
      <c r="D62" t="s">
        <v>264</v>
      </c>
    </row>
    <row r="63" spans="3:4">
      <c r="C63" t="s">
        <v>264</v>
      </c>
      <c r="D63" t="s">
        <v>264</v>
      </c>
    </row>
    <row r="64" spans="3:4">
      <c r="C64" t="s">
        <v>264</v>
      </c>
      <c r="D64" t="s">
        <v>264</v>
      </c>
    </row>
    <row r="65" spans="3:4">
      <c r="C65" t="s">
        <v>264</v>
      </c>
      <c r="D65" t="s">
        <v>264</v>
      </c>
    </row>
  </sheetData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263</v>
      </c>
      <c r="D7" t="s">
        <v>263</v>
      </c>
    </row>
    <row r="8" spans="3:4">
      <c r="C8" t="s">
        <v>263</v>
      </c>
      <c r="D8" t="s">
        <v>263</v>
      </c>
    </row>
    <row r="9" spans="3:4">
      <c r="C9" t="s">
        <v>263</v>
      </c>
      <c r="D9" t="s">
        <v>263</v>
      </c>
    </row>
    <row r="10" spans="3:4">
      <c r="C10" t="s">
        <v>263</v>
      </c>
      <c r="D10" t="s">
        <v>263</v>
      </c>
    </row>
    <row r="11" spans="3:4">
      <c r="C11" t="s">
        <v>263</v>
      </c>
      <c r="D11" t="s">
        <v>263</v>
      </c>
    </row>
    <row r="12" spans="3:4">
      <c r="C12" t="s">
        <v>263</v>
      </c>
      <c r="D12" t="s">
        <v>263</v>
      </c>
    </row>
    <row r="13" spans="3:4">
      <c r="C13" t="s">
        <v>263</v>
      </c>
      <c r="D13" t="s">
        <v>263</v>
      </c>
    </row>
    <row r="14" spans="3:4">
      <c r="C14" t="s">
        <v>263</v>
      </c>
      <c r="D14" t="s">
        <v>263</v>
      </c>
    </row>
    <row r="15" spans="3:4">
      <c r="C15" t="s">
        <v>263</v>
      </c>
      <c r="D15" t="s">
        <v>263</v>
      </c>
    </row>
    <row r="16" spans="3:4">
      <c r="C16" t="s">
        <v>263</v>
      </c>
      <c r="D16" t="s">
        <v>263</v>
      </c>
    </row>
    <row r="17" spans="3:4">
      <c r="C17" t="s">
        <v>263</v>
      </c>
      <c r="D17" t="s">
        <v>263</v>
      </c>
    </row>
    <row r="18" spans="3:4">
      <c r="C18" t="s">
        <v>263</v>
      </c>
      <c r="D18" t="s">
        <v>263</v>
      </c>
    </row>
    <row r="19" spans="3:4">
      <c r="C19" t="s">
        <v>263</v>
      </c>
      <c r="D19" t="s">
        <v>263</v>
      </c>
    </row>
    <row r="20" spans="3:4">
      <c r="C20" t="s">
        <v>263</v>
      </c>
      <c r="D20" t="s">
        <v>263</v>
      </c>
    </row>
    <row r="21" spans="3:4">
      <c r="C21" t="s">
        <v>263</v>
      </c>
      <c r="D21" t="s">
        <v>263</v>
      </c>
    </row>
    <row r="22" spans="3:4">
      <c r="C22" t="s">
        <v>263</v>
      </c>
      <c r="D22" t="s">
        <v>263</v>
      </c>
    </row>
    <row r="23" spans="3:4">
      <c r="C23" t="s">
        <v>263</v>
      </c>
      <c r="D23" t="s">
        <v>263</v>
      </c>
    </row>
    <row r="24" spans="3:4">
      <c r="C24" t="s">
        <v>263</v>
      </c>
      <c r="D24" t="s">
        <v>263</v>
      </c>
    </row>
    <row r="25" spans="3:4">
      <c r="C25" t="s">
        <v>263</v>
      </c>
      <c r="D25" t="s">
        <v>263</v>
      </c>
    </row>
    <row r="26" spans="3:4">
      <c r="C26" t="s">
        <v>263</v>
      </c>
      <c r="D26" t="s">
        <v>263</v>
      </c>
    </row>
    <row r="27" spans="3:4">
      <c r="C27" t="s">
        <v>263</v>
      </c>
      <c r="D27" t="s">
        <v>263</v>
      </c>
    </row>
    <row r="28" spans="3:4">
      <c r="C28" t="s">
        <v>263</v>
      </c>
      <c r="D28" t="s">
        <v>263</v>
      </c>
    </row>
    <row r="29" spans="3:4">
      <c r="C29" t="s">
        <v>263</v>
      </c>
      <c r="D29" t="s">
        <v>263</v>
      </c>
    </row>
    <row r="30" spans="3:4">
      <c r="C30" t="s">
        <v>263</v>
      </c>
      <c r="D30" t="s">
        <v>263</v>
      </c>
    </row>
    <row r="31" spans="3:4">
      <c r="C31" t="s">
        <v>263</v>
      </c>
      <c r="D31" t="s">
        <v>263</v>
      </c>
    </row>
    <row r="32" spans="3:4">
      <c r="C32" t="s">
        <v>263</v>
      </c>
      <c r="D32" t="s">
        <v>263</v>
      </c>
    </row>
    <row r="33" spans="3:4">
      <c r="C33" t="s">
        <v>263</v>
      </c>
      <c r="D33" t="s">
        <v>263</v>
      </c>
    </row>
    <row r="34" spans="3:4">
      <c r="C34" t="s">
        <v>263</v>
      </c>
      <c r="D34" t="s">
        <v>263</v>
      </c>
    </row>
    <row r="35" spans="3:4">
      <c r="C35" t="s">
        <v>263</v>
      </c>
      <c r="D35" t="s">
        <v>263</v>
      </c>
    </row>
    <row r="36" spans="3:4">
      <c r="C36" t="s">
        <v>263</v>
      </c>
      <c r="D36" t="s">
        <v>263</v>
      </c>
    </row>
    <row r="37" spans="3:4">
      <c r="C37" t="s">
        <v>263</v>
      </c>
      <c r="D37" t="s">
        <v>263</v>
      </c>
    </row>
    <row r="38" spans="3:4">
      <c r="C38" t="s">
        <v>263</v>
      </c>
      <c r="D38" t="s">
        <v>263</v>
      </c>
    </row>
    <row r="39" spans="3:4">
      <c r="C39" t="s">
        <v>263</v>
      </c>
      <c r="D39" t="s">
        <v>263</v>
      </c>
    </row>
    <row r="40" spans="3:4">
      <c r="C40" t="s">
        <v>263</v>
      </c>
      <c r="D40" t="s">
        <v>263</v>
      </c>
    </row>
    <row r="41" spans="3:4">
      <c r="C41" t="s">
        <v>263</v>
      </c>
      <c r="D41" t="s">
        <v>263</v>
      </c>
    </row>
    <row r="42" spans="3:4">
      <c r="C42" t="s">
        <v>263</v>
      </c>
      <c r="D42" t="s">
        <v>263</v>
      </c>
    </row>
    <row r="43" spans="3:4">
      <c r="C43" t="s">
        <v>263</v>
      </c>
      <c r="D43" t="s">
        <v>263</v>
      </c>
    </row>
    <row r="44" spans="3:4">
      <c r="C44" t="s">
        <v>263</v>
      </c>
      <c r="D44" t="s">
        <v>263</v>
      </c>
    </row>
    <row r="45" spans="3:4">
      <c r="C45" t="s">
        <v>263</v>
      </c>
      <c r="D45" t="s">
        <v>263</v>
      </c>
    </row>
    <row r="46" spans="3:4">
      <c r="C46" t="s">
        <v>263</v>
      </c>
      <c r="D46" t="s">
        <v>263</v>
      </c>
    </row>
    <row r="47" spans="3:4">
      <c r="C47" t="s">
        <v>263</v>
      </c>
      <c r="D47" t="s">
        <v>263</v>
      </c>
    </row>
    <row r="48" spans="3:4">
      <c r="C48" t="s">
        <v>263</v>
      </c>
      <c r="D48" t="s">
        <v>263</v>
      </c>
    </row>
    <row r="49" spans="3:4">
      <c r="C49" t="s">
        <v>263</v>
      </c>
      <c r="D49" t="s">
        <v>263</v>
      </c>
    </row>
    <row r="50" spans="3:4">
      <c r="C50" t="s">
        <v>263</v>
      </c>
      <c r="D50" t="s">
        <v>263</v>
      </c>
    </row>
    <row r="51" spans="3:4">
      <c r="C51" t="s">
        <v>263</v>
      </c>
      <c r="D51" t="s">
        <v>263</v>
      </c>
    </row>
    <row r="52" spans="3:4">
      <c r="C52" t="s">
        <v>263</v>
      </c>
      <c r="D52" t="s">
        <v>263</v>
      </c>
    </row>
    <row r="53" spans="3:4">
      <c r="C53" t="s">
        <v>263</v>
      </c>
      <c r="D53" t="s">
        <v>263</v>
      </c>
    </row>
    <row r="54" spans="3:4">
      <c r="C54" t="s">
        <v>263</v>
      </c>
      <c r="D54" t="s">
        <v>263</v>
      </c>
    </row>
    <row r="55" spans="3:4">
      <c r="C55" t="s">
        <v>263</v>
      </c>
      <c r="D55" t="s">
        <v>263</v>
      </c>
    </row>
    <row r="56" spans="3:4">
      <c r="C56" t="s">
        <v>263</v>
      </c>
      <c r="D56" t="s">
        <v>263</v>
      </c>
    </row>
    <row r="57" spans="3:4">
      <c r="C57" t="s">
        <v>263</v>
      </c>
      <c r="D57" t="s">
        <v>263</v>
      </c>
    </row>
    <row r="58" spans="3:4">
      <c r="C58" t="s">
        <v>263</v>
      </c>
      <c r="D58" t="s">
        <v>263</v>
      </c>
    </row>
    <row r="59" spans="3:4">
      <c r="C59" t="s">
        <v>263</v>
      </c>
      <c r="D59" t="s">
        <v>263</v>
      </c>
    </row>
    <row r="60" spans="3:4">
      <c r="C60" t="s">
        <v>263</v>
      </c>
      <c r="D60" t="s">
        <v>263</v>
      </c>
    </row>
    <row r="61" spans="3:4">
      <c r="C61" t="s">
        <v>263</v>
      </c>
      <c r="D61" t="s">
        <v>263</v>
      </c>
    </row>
    <row r="62" spans="3:4">
      <c r="C62" t="s">
        <v>263</v>
      </c>
      <c r="D62" t="s">
        <v>263</v>
      </c>
    </row>
    <row r="63" spans="3:4">
      <c r="C63" t="s">
        <v>263</v>
      </c>
      <c r="D63" t="s">
        <v>263</v>
      </c>
    </row>
    <row r="64" spans="3:4">
      <c r="C64" t="s">
        <v>263</v>
      </c>
      <c r="D64" t="s">
        <v>263</v>
      </c>
    </row>
    <row r="65" spans="3:4">
      <c r="C65" t="s">
        <v>263</v>
      </c>
      <c r="D65" t="s">
        <v>263</v>
      </c>
    </row>
  </sheetData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261</v>
      </c>
      <c r="D7" t="s">
        <v>261</v>
      </c>
    </row>
    <row r="8" spans="3:4">
      <c r="C8" t="s">
        <v>261</v>
      </c>
      <c r="D8" t="s">
        <v>261</v>
      </c>
    </row>
    <row r="9" spans="3:4">
      <c r="C9" t="s">
        <v>261</v>
      </c>
      <c r="D9" t="s">
        <v>261</v>
      </c>
    </row>
    <row r="10" spans="3:4">
      <c r="C10" t="s">
        <v>261</v>
      </c>
      <c r="D10" t="s">
        <v>261</v>
      </c>
    </row>
    <row r="11" spans="3:4">
      <c r="C11" t="s">
        <v>261</v>
      </c>
      <c r="D11" t="s">
        <v>261</v>
      </c>
    </row>
    <row r="12" spans="3:4">
      <c r="C12" t="s">
        <v>261</v>
      </c>
      <c r="D12" t="s">
        <v>261</v>
      </c>
    </row>
    <row r="13" spans="3:4">
      <c r="C13" t="s">
        <v>261</v>
      </c>
      <c r="D13" t="s">
        <v>261</v>
      </c>
    </row>
    <row r="14" spans="3:4">
      <c r="C14" t="s">
        <v>261</v>
      </c>
      <c r="D14" t="s">
        <v>261</v>
      </c>
    </row>
    <row r="15" spans="3:4">
      <c r="C15" t="s">
        <v>261</v>
      </c>
      <c r="D15" t="s">
        <v>261</v>
      </c>
    </row>
    <row r="16" spans="3:4">
      <c r="C16" t="s">
        <v>261</v>
      </c>
      <c r="D16" t="s">
        <v>261</v>
      </c>
    </row>
    <row r="17" spans="3:4">
      <c r="C17" t="s">
        <v>261</v>
      </c>
      <c r="D17" t="s">
        <v>261</v>
      </c>
    </row>
    <row r="18" spans="3:4">
      <c r="C18" t="s">
        <v>261</v>
      </c>
      <c r="D18" t="s">
        <v>261</v>
      </c>
    </row>
    <row r="19" spans="3:4">
      <c r="C19" t="s">
        <v>261</v>
      </c>
      <c r="D19" t="s">
        <v>261</v>
      </c>
    </row>
    <row r="20" spans="3:4">
      <c r="C20" t="s">
        <v>261</v>
      </c>
      <c r="D20" t="s">
        <v>261</v>
      </c>
    </row>
    <row r="21" spans="3:4">
      <c r="C21" t="s">
        <v>261</v>
      </c>
      <c r="D21" t="s">
        <v>261</v>
      </c>
    </row>
    <row r="22" spans="3:4">
      <c r="C22" t="s">
        <v>261</v>
      </c>
      <c r="D22" t="s">
        <v>261</v>
      </c>
    </row>
    <row r="23" spans="3:4">
      <c r="C23" t="s">
        <v>261</v>
      </c>
      <c r="D23" t="s">
        <v>261</v>
      </c>
    </row>
    <row r="24" spans="3:4">
      <c r="C24" t="s">
        <v>261</v>
      </c>
      <c r="D24" t="s">
        <v>261</v>
      </c>
    </row>
    <row r="25" spans="3:4">
      <c r="C25" t="s">
        <v>261</v>
      </c>
      <c r="D25" t="s">
        <v>261</v>
      </c>
    </row>
    <row r="26" spans="3:4">
      <c r="C26" t="s">
        <v>261</v>
      </c>
      <c r="D26" t="s">
        <v>261</v>
      </c>
    </row>
    <row r="27" spans="3:4">
      <c r="C27" t="s">
        <v>261</v>
      </c>
      <c r="D27" t="s">
        <v>261</v>
      </c>
    </row>
    <row r="28" spans="3:4">
      <c r="C28" t="s">
        <v>261</v>
      </c>
      <c r="D28" t="s">
        <v>261</v>
      </c>
    </row>
    <row r="29" spans="3:4">
      <c r="C29" t="s">
        <v>261</v>
      </c>
      <c r="D29" t="s">
        <v>261</v>
      </c>
    </row>
    <row r="30" spans="3:4">
      <c r="C30" t="s">
        <v>261</v>
      </c>
      <c r="D30" t="s">
        <v>261</v>
      </c>
    </row>
    <row r="31" spans="3:4">
      <c r="C31" t="s">
        <v>261</v>
      </c>
      <c r="D31" t="s">
        <v>261</v>
      </c>
    </row>
    <row r="32" spans="3:4">
      <c r="C32" t="s">
        <v>261</v>
      </c>
      <c r="D32" t="s">
        <v>261</v>
      </c>
    </row>
    <row r="33" spans="3:4">
      <c r="C33" t="s">
        <v>261</v>
      </c>
      <c r="D33" t="s">
        <v>261</v>
      </c>
    </row>
    <row r="34" spans="3:4">
      <c r="C34" t="s">
        <v>261</v>
      </c>
      <c r="D34" t="s">
        <v>261</v>
      </c>
    </row>
    <row r="35" spans="3:4">
      <c r="C35" t="s">
        <v>261</v>
      </c>
      <c r="D35" t="s">
        <v>261</v>
      </c>
    </row>
    <row r="36" spans="3:4">
      <c r="C36" t="s">
        <v>261</v>
      </c>
      <c r="D36" t="s">
        <v>261</v>
      </c>
    </row>
    <row r="37" spans="3:4">
      <c r="C37" t="s">
        <v>261</v>
      </c>
      <c r="D37" t="s">
        <v>261</v>
      </c>
    </row>
    <row r="38" spans="3:4">
      <c r="C38" t="s">
        <v>261</v>
      </c>
      <c r="D38" t="s">
        <v>261</v>
      </c>
    </row>
    <row r="39" spans="3:4">
      <c r="C39" t="s">
        <v>261</v>
      </c>
      <c r="D39" t="s">
        <v>261</v>
      </c>
    </row>
    <row r="40" spans="3:4">
      <c r="C40" t="s">
        <v>261</v>
      </c>
      <c r="D40" t="s">
        <v>261</v>
      </c>
    </row>
    <row r="41" spans="3:4">
      <c r="C41" t="s">
        <v>261</v>
      </c>
      <c r="D41" t="s">
        <v>261</v>
      </c>
    </row>
    <row r="42" spans="3:4">
      <c r="C42" t="s">
        <v>261</v>
      </c>
      <c r="D42" t="s">
        <v>261</v>
      </c>
    </row>
    <row r="43" spans="3:4">
      <c r="C43" t="s">
        <v>261</v>
      </c>
      <c r="D43" t="s">
        <v>261</v>
      </c>
    </row>
    <row r="44" spans="3:4">
      <c r="C44" t="s">
        <v>261</v>
      </c>
      <c r="D44" t="s">
        <v>261</v>
      </c>
    </row>
    <row r="45" spans="3:4">
      <c r="C45" t="s">
        <v>261</v>
      </c>
      <c r="D45" t="s">
        <v>261</v>
      </c>
    </row>
    <row r="46" spans="3:4">
      <c r="C46" t="s">
        <v>261</v>
      </c>
      <c r="D46" t="s">
        <v>261</v>
      </c>
    </row>
    <row r="47" spans="3:4">
      <c r="C47" t="s">
        <v>261</v>
      </c>
      <c r="D47" t="s">
        <v>261</v>
      </c>
    </row>
    <row r="48" spans="3:4">
      <c r="C48" t="s">
        <v>261</v>
      </c>
      <c r="D48" t="s">
        <v>261</v>
      </c>
    </row>
    <row r="49" spans="3:4">
      <c r="C49" t="s">
        <v>261</v>
      </c>
      <c r="D49" t="s">
        <v>261</v>
      </c>
    </row>
    <row r="50" spans="3:4">
      <c r="C50" t="s">
        <v>261</v>
      </c>
      <c r="D50" t="s">
        <v>261</v>
      </c>
    </row>
    <row r="51" spans="3:4">
      <c r="C51" t="s">
        <v>261</v>
      </c>
      <c r="D51" t="s">
        <v>261</v>
      </c>
    </row>
    <row r="52" spans="3:4">
      <c r="C52" t="s">
        <v>261</v>
      </c>
      <c r="D52" t="s">
        <v>261</v>
      </c>
    </row>
    <row r="53" spans="3:4">
      <c r="C53" t="s">
        <v>261</v>
      </c>
      <c r="D53" t="s">
        <v>261</v>
      </c>
    </row>
    <row r="54" spans="3:4">
      <c r="C54" t="s">
        <v>261</v>
      </c>
      <c r="D54" t="s">
        <v>261</v>
      </c>
    </row>
    <row r="55" spans="3:4">
      <c r="C55" t="s">
        <v>261</v>
      </c>
      <c r="D55" t="s">
        <v>261</v>
      </c>
    </row>
    <row r="56" spans="3:4">
      <c r="C56" t="s">
        <v>261</v>
      </c>
      <c r="D56" t="s">
        <v>261</v>
      </c>
    </row>
    <row r="57" spans="3:4">
      <c r="C57" t="s">
        <v>261</v>
      </c>
      <c r="D57" t="s">
        <v>261</v>
      </c>
    </row>
    <row r="58" spans="3:4">
      <c r="C58" t="s">
        <v>261</v>
      </c>
      <c r="D58" t="s">
        <v>261</v>
      </c>
    </row>
    <row r="59" spans="3:4">
      <c r="C59" t="s">
        <v>261</v>
      </c>
      <c r="D59" t="s">
        <v>261</v>
      </c>
    </row>
    <row r="60" spans="3:4">
      <c r="C60" t="s">
        <v>261</v>
      </c>
      <c r="D60" t="s">
        <v>261</v>
      </c>
    </row>
    <row r="61" spans="3:4">
      <c r="C61" t="s">
        <v>261</v>
      </c>
      <c r="D61" t="s">
        <v>261</v>
      </c>
    </row>
    <row r="62" spans="3:4">
      <c r="C62" t="s">
        <v>261</v>
      </c>
      <c r="D62" t="s">
        <v>261</v>
      </c>
    </row>
    <row r="63" spans="3:4">
      <c r="C63" t="s">
        <v>261</v>
      </c>
      <c r="D63" t="s">
        <v>261</v>
      </c>
    </row>
    <row r="64" spans="3:4">
      <c r="C64" t="s">
        <v>261</v>
      </c>
      <c r="D64" t="s">
        <v>261</v>
      </c>
    </row>
    <row r="65" spans="3:4">
      <c r="C65" t="s">
        <v>261</v>
      </c>
      <c r="D65" t="s">
        <v>261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261"/>
  <sheetViews>
    <sheetView topLeftCell="A19" workbookViewId="0">
      <selection activeCell="F16" sqref="F16"/>
    </sheetView>
  </sheetViews>
  <sheetFormatPr defaultColWidth="11.7109375" defaultRowHeight="15"/>
  <cols>
    <col min="1" max="1" width="62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249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3480201.38</v>
      </c>
      <c r="D8" s="11">
        <f>D9+D11+D14+D15</f>
        <v>3656426.8099999996</v>
      </c>
    </row>
    <row r="9" spans="1:4" ht="30">
      <c r="A9" s="12" t="s">
        <v>90</v>
      </c>
      <c r="B9" s="13" t="s">
        <v>91</v>
      </c>
      <c r="C9" s="14">
        <f>3364722.77</f>
        <v>3364722.77</v>
      </c>
      <c r="D9" s="15">
        <f>3247715.78</f>
        <v>3247715.78</v>
      </c>
    </row>
    <row r="10" spans="1:4">
      <c r="A10" s="16" t="s">
        <v>92</v>
      </c>
      <c r="B10" s="17" t="s">
        <v>93</v>
      </c>
      <c r="C10" s="18">
        <f>2134682.06605223</f>
        <v>2134682.0660522301</v>
      </c>
      <c r="D10" s="19">
        <f>_33h_E12</f>
        <v>2134682.0660522301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115478.60999999999</v>
      </c>
      <c r="D15" s="15">
        <f>SUM(D16:D24)</f>
        <v>408711.02999999997</v>
      </c>
    </row>
    <row r="16" spans="1:4">
      <c r="A16" s="22" t="s">
        <v>103</v>
      </c>
      <c r="B16" s="17" t="s">
        <v>104</v>
      </c>
      <c r="C16" s="111">
        <v>53796.72</v>
      </c>
      <c r="D16" s="113">
        <v>353545.7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41295.27</f>
        <v>41295.269999999997</v>
      </c>
      <c r="D18" s="19">
        <f>34774.23</f>
        <v>34774.230000000003</v>
      </c>
    </row>
    <row r="19" spans="1:4">
      <c r="A19" s="22" t="s">
        <v>109</v>
      </c>
      <c r="B19" s="17" t="s">
        <v>110</v>
      </c>
      <c r="C19" s="18">
        <f>12088.48</f>
        <v>12088.48</v>
      </c>
      <c r="D19" s="19">
        <f>12096.6</f>
        <v>12096.6</v>
      </c>
    </row>
    <row r="20" spans="1:4">
      <c r="A20" s="22" t="s">
        <v>111</v>
      </c>
      <c r="B20" s="17" t="s">
        <v>112</v>
      </c>
      <c r="C20" s="18">
        <f>8298.14</f>
        <v>8298.14</v>
      </c>
      <c r="D20" s="19">
        <f>8294.5</f>
        <v>8294.5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1449963.8200000443</v>
      </c>
      <c r="D25" s="15">
        <f>D26+D27+D30+D28+D29+D31</f>
        <v>1315276.6299999999</v>
      </c>
    </row>
    <row r="26" spans="1:4" ht="21" customHeight="1">
      <c r="A26" s="24" t="s">
        <v>123</v>
      </c>
      <c r="B26" s="20" t="s">
        <v>124</v>
      </c>
      <c r="C26" s="18">
        <f>680223.84</f>
        <v>680223.84</v>
      </c>
      <c r="D26" s="19">
        <f>680223.82</f>
        <v>680223.82</v>
      </c>
    </row>
    <row r="27" spans="1:4" ht="32.25" customHeight="1">
      <c r="A27" s="24" t="s">
        <v>125</v>
      </c>
      <c r="B27" s="20" t="s">
        <v>126</v>
      </c>
      <c r="C27" s="18">
        <f>54134.28</f>
        <v>54134.28</v>
      </c>
      <c r="D27" s="19">
        <f>54065.78</f>
        <v>54065.78</v>
      </c>
    </row>
    <row r="28" spans="1:4" ht="32.2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56736.6</f>
        <v>56736.6</v>
      </c>
      <c r="D29" s="19">
        <f>56240.64</f>
        <v>56240.639999999999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250413.10000004404</v>
      </c>
      <c r="D31" s="15">
        <f>SUM(D32:D39)</f>
        <v>116290.39000000001</v>
      </c>
    </row>
    <row r="32" spans="1:4" ht="22.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73466.16</f>
        <v>73466.16</v>
      </c>
      <c r="D33" s="19">
        <f>70343.27</f>
        <v>70343.27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0</f>
        <v>0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251.780000044033</f>
        <v>251.78000004403299</v>
      </c>
      <c r="D39" s="19">
        <f>0</f>
        <v>0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4.7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 ht="19.5" customHeight="1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 ht="18.75" customHeight="1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24335.88</v>
      </c>
      <c r="D45" s="27">
        <f>SUM(D46:D48)</f>
        <v>19127.5</v>
      </c>
    </row>
    <row r="46" spans="1:4">
      <c r="A46" s="21" t="s">
        <v>163</v>
      </c>
      <c r="B46" s="17" t="s">
        <v>164</v>
      </c>
      <c r="C46" s="18">
        <f>23015.16</f>
        <v>23015.16</v>
      </c>
      <c r="D46" s="19">
        <f>17806.78</f>
        <v>17806.78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279132.72</f>
        <v>279132.71999999997</v>
      </c>
      <c r="D49" s="30">
        <f>242802.86</f>
        <v>242802.86</v>
      </c>
    </row>
    <row r="50" spans="1:4">
      <c r="A50" s="8" t="s">
        <v>169</v>
      </c>
      <c r="B50" s="9" t="s">
        <v>170</v>
      </c>
      <c r="C50" s="14">
        <f>C8+C25+C40+C41+C42+C43+C44+C45+C49+C51+C52</f>
        <v>5233633.8000000436</v>
      </c>
      <c r="D50" s="15">
        <f>D8+D25+D40+D41+D42+D43+D44+D45+D49+D51+D52</f>
        <v>5233633.8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2978826.36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2879421</f>
        <v>2879421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99405.36</f>
        <v>99405.36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1537098</f>
        <v>1537098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4515924.3599999994</v>
      </c>
      <c r="D59" s="27">
        <f>D54+D57+D58</f>
        <v>0</v>
      </c>
    </row>
    <row r="60" spans="1:4" ht="25.5">
      <c r="A60" s="33" t="s">
        <v>188</v>
      </c>
      <c r="B60" s="9"/>
      <c r="C60" s="34">
        <v>19427</v>
      </c>
      <c r="D60" s="35">
        <v>19427</v>
      </c>
    </row>
    <row r="61" spans="1:4" ht="15.75" thickBot="1">
      <c r="A61" s="36" t="s">
        <v>189</v>
      </c>
      <c r="B61" s="37"/>
      <c r="C61" s="38">
        <f>(C50+C51+C52)/C60/12</f>
        <v>22.450000000000188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259</v>
      </c>
      <c r="D7" t="s">
        <v>259</v>
      </c>
    </row>
    <row r="8" spans="3:4">
      <c r="C8" t="s">
        <v>259</v>
      </c>
      <c r="D8" t="s">
        <v>259</v>
      </c>
    </row>
    <row r="9" spans="3:4">
      <c r="C9" t="s">
        <v>259</v>
      </c>
      <c r="D9" t="s">
        <v>259</v>
      </c>
    </row>
    <row r="10" spans="3:4">
      <c r="C10" t="s">
        <v>259</v>
      </c>
      <c r="D10" t="s">
        <v>259</v>
      </c>
    </row>
    <row r="11" spans="3:4">
      <c r="C11" t="s">
        <v>259</v>
      </c>
      <c r="D11" t="s">
        <v>259</v>
      </c>
    </row>
    <row r="12" spans="3:4">
      <c r="C12" t="s">
        <v>259</v>
      </c>
      <c r="D12" t="s">
        <v>259</v>
      </c>
    </row>
    <row r="13" spans="3:4">
      <c r="C13" t="s">
        <v>259</v>
      </c>
      <c r="D13" t="s">
        <v>259</v>
      </c>
    </row>
    <row r="14" spans="3:4">
      <c r="C14" t="s">
        <v>259</v>
      </c>
      <c r="D14" t="s">
        <v>259</v>
      </c>
    </row>
    <row r="15" spans="3:4">
      <c r="C15" t="s">
        <v>259</v>
      </c>
      <c r="D15" t="s">
        <v>259</v>
      </c>
    </row>
    <row r="16" spans="3:4">
      <c r="C16" t="s">
        <v>259</v>
      </c>
      <c r="D16" t="s">
        <v>259</v>
      </c>
    </row>
    <row r="17" spans="3:4">
      <c r="C17" t="s">
        <v>259</v>
      </c>
      <c r="D17" t="s">
        <v>259</v>
      </c>
    </row>
    <row r="18" spans="3:4">
      <c r="C18" t="s">
        <v>259</v>
      </c>
      <c r="D18" t="s">
        <v>259</v>
      </c>
    </row>
    <row r="19" spans="3:4">
      <c r="C19" t="s">
        <v>259</v>
      </c>
      <c r="D19" t="s">
        <v>259</v>
      </c>
    </row>
    <row r="20" spans="3:4">
      <c r="C20" t="s">
        <v>259</v>
      </c>
      <c r="D20" t="s">
        <v>259</v>
      </c>
    </row>
    <row r="21" spans="3:4">
      <c r="C21" t="s">
        <v>259</v>
      </c>
      <c r="D21" t="s">
        <v>259</v>
      </c>
    </row>
    <row r="22" spans="3:4">
      <c r="C22" t="s">
        <v>259</v>
      </c>
      <c r="D22" t="s">
        <v>259</v>
      </c>
    </row>
    <row r="23" spans="3:4">
      <c r="C23" t="s">
        <v>259</v>
      </c>
      <c r="D23" t="s">
        <v>259</v>
      </c>
    </row>
    <row r="24" spans="3:4">
      <c r="C24" t="s">
        <v>259</v>
      </c>
      <c r="D24" t="s">
        <v>259</v>
      </c>
    </row>
    <row r="25" spans="3:4">
      <c r="C25" t="s">
        <v>259</v>
      </c>
      <c r="D25" t="s">
        <v>259</v>
      </c>
    </row>
    <row r="26" spans="3:4">
      <c r="C26" t="s">
        <v>259</v>
      </c>
      <c r="D26" t="s">
        <v>259</v>
      </c>
    </row>
    <row r="27" spans="3:4">
      <c r="C27" t="s">
        <v>259</v>
      </c>
      <c r="D27" t="s">
        <v>259</v>
      </c>
    </row>
    <row r="28" spans="3:4">
      <c r="C28" t="s">
        <v>259</v>
      </c>
      <c r="D28" t="s">
        <v>259</v>
      </c>
    </row>
    <row r="29" spans="3:4">
      <c r="C29" t="s">
        <v>259</v>
      </c>
      <c r="D29" t="s">
        <v>259</v>
      </c>
    </row>
    <row r="30" spans="3:4">
      <c r="C30" t="s">
        <v>259</v>
      </c>
      <c r="D30" t="s">
        <v>259</v>
      </c>
    </row>
    <row r="31" spans="3:4">
      <c r="C31" t="s">
        <v>259</v>
      </c>
      <c r="D31" t="s">
        <v>259</v>
      </c>
    </row>
    <row r="32" spans="3:4">
      <c r="C32" t="s">
        <v>259</v>
      </c>
      <c r="D32" t="s">
        <v>259</v>
      </c>
    </row>
    <row r="33" spans="3:4">
      <c r="C33" t="s">
        <v>259</v>
      </c>
      <c r="D33" t="s">
        <v>259</v>
      </c>
    </row>
    <row r="34" spans="3:4">
      <c r="C34" t="s">
        <v>259</v>
      </c>
      <c r="D34" t="s">
        <v>259</v>
      </c>
    </row>
    <row r="35" spans="3:4">
      <c r="C35" t="s">
        <v>259</v>
      </c>
      <c r="D35" t="s">
        <v>259</v>
      </c>
    </row>
    <row r="36" spans="3:4">
      <c r="C36" t="s">
        <v>259</v>
      </c>
      <c r="D36" t="s">
        <v>259</v>
      </c>
    </row>
    <row r="37" spans="3:4">
      <c r="C37" t="s">
        <v>259</v>
      </c>
      <c r="D37" t="s">
        <v>259</v>
      </c>
    </row>
    <row r="38" spans="3:4">
      <c r="C38" t="s">
        <v>259</v>
      </c>
      <c r="D38" t="s">
        <v>259</v>
      </c>
    </row>
    <row r="39" spans="3:4">
      <c r="C39" t="s">
        <v>259</v>
      </c>
      <c r="D39" t="s">
        <v>259</v>
      </c>
    </row>
    <row r="40" spans="3:4">
      <c r="C40" t="s">
        <v>259</v>
      </c>
      <c r="D40" t="s">
        <v>259</v>
      </c>
    </row>
    <row r="41" spans="3:4">
      <c r="C41" t="s">
        <v>259</v>
      </c>
      <c r="D41" t="s">
        <v>259</v>
      </c>
    </row>
    <row r="42" spans="3:4">
      <c r="C42" t="s">
        <v>259</v>
      </c>
      <c r="D42" t="s">
        <v>259</v>
      </c>
    </row>
    <row r="43" spans="3:4">
      <c r="C43" t="s">
        <v>259</v>
      </c>
      <c r="D43" t="s">
        <v>259</v>
      </c>
    </row>
    <row r="44" spans="3:4">
      <c r="C44" t="s">
        <v>259</v>
      </c>
      <c r="D44" t="s">
        <v>259</v>
      </c>
    </row>
    <row r="45" spans="3:4">
      <c r="C45" t="s">
        <v>259</v>
      </c>
      <c r="D45" t="s">
        <v>259</v>
      </c>
    </row>
    <row r="46" spans="3:4">
      <c r="C46" t="s">
        <v>259</v>
      </c>
      <c r="D46" t="s">
        <v>259</v>
      </c>
    </row>
    <row r="47" spans="3:4">
      <c r="C47" t="s">
        <v>259</v>
      </c>
      <c r="D47" t="s">
        <v>259</v>
      </c>
    </row>
    <row r="48" spans="3:4">
      <c r="C48" t="s">
        <v>259</v>
      </c>
      <c r="D48" t="s">
        <v>259</v>
      </c>
    </row>
    <row r="49" spans="3:4">
      <c r="C49" t="s">
        <v>259</v>
      </c>
      <c r="D49" t="s">
        <v>259</v>
      </c>
    </row>
    <row r="50" spans="3:4">
      <c r="C50" t="s">
        <v>259</v>
      </c>
      <c r="D50" t="s">
        <v>259</v>
      </c>
    </row>
    <row r="51" spans="3:4">
      <c r="C51" t="s">
        <v>259</v>
      </c>
      <c r="D51" t="s">
        <v>259</v>
      </c>
    </row>
    <row r="52" spans="3:4">
      <c r="C52" t="s">
        <v>259</v>
      </c>
      <c r="D52" t="s">
        <v>259</v>
      </c>
    </row>
    <row r="53" spans="3:4">
      <c r="C53" t="s">
        <v>259</v>
      </c>
      <c r="D53" t="s">
        <v>259</v>
      </c>
    </row>
    <row r="54" spans="3:4">
      <c r="C54" t="s">
        <v>259</v>
      </c>
      <c r="D54" t="s">
        <v>259</v>
      </c>
    </row>
    <row r="55" spans="3:4">
      <c r="C55" t="s">
        <v>259</v>
      </c>
      <c r="D55" t="s">
        <v>259</v>
      </c>
    </row>
    <row r="56" spans="3:4">
      <c r="C56" t="s">
        <v>259</v>
      </c>
      <c r="D56" t="s">
        <v>259</v>
      </c>
    </row>
    <row r="57" spans="3:4">
      <c r="C57" t="s">
        <v>259</v>
      </c>
      <c r="D57" t="s">
        <v>259</v>
      </c>
    </row>
    <row r="58" spans="3:4">
      <c r="C58" t="s">
        <v>259</v>
      </c>
      <c r="D58" t="s">
        <v>259</v>
      </c>
    </row>
    <row r="59" spans="3:4">
      <c r="C59" t="s">
        <v>259</v>
      </c>
      <c r="D59" t="s">
        <v>259</v>
      </c>
    </row>
    <row r="60" spans="3:4">
      <c r="C60" t="s">
        <v>259</v>
      </c>
      <c r="D60" t="s">
        <v>259</v>
      </c>
    </row>
    <row r="61" spans="3:4">
      <c r="C61" t="s">
        <v>259</v>
      </c>
      <c r="D61" t="s">
        <v>259</v>
      </c>
    </row>
    <row r="62" spans="3:4">
      <c r="C62" t="s">
        <v>259</v>
      </c>
      <c r="D62" t="s">
        <v>259</v>
      </c>
    </row>
    <row r="63" spans="3:4">
      <c r="C63" t="s">
        <v>259</v>
      </c>
      <c r="D63" t="s">
        <v>259</v>
      </c>
    </row>
    <row r="64" spans="3:4">
      <c r="C64" t="s">
        <v>259</v>
      </c>
      <c r="D64" t="s">
        <v>259</v>
      </c>
    </row>
    <row r="65" spans="3:4">
      <c r="C65" t="s">
        <v>259</v>
      </c>
      <c r="D65" t="s">
        <v>259</v>
      </c>
    </row>
  </sheetData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257</v>
      </c>
      <c r="D7" t="s">
        <v>257</v>
      </c>
    </row>
    <row r="8" spans="3:4">
      <c r="C8" t="s">
        <v>257</v>
      </c>
      <c r="D8" t="s">
        <v>257</v>
      </c>
    </row>
    <row r="9" spans="3:4">
      <c r="C9" t="s">
        <v>257</v>
      </c>
      <c r="D9" t="s">
        <v>257</v>
      </c>
    </row>
    <row r="10" spans="3:4">
      <c r="C10" t="s">
        <v>257</v>
      </c>
      <c r="D10" t="s">
        <v>257</v>
      </c>
    </row>
    <row r="11" spans="3:4">
      <c r="C11" t="s">
        <v>257</v>
      </c>
      <c r="D11" t="s">
        <v>257</v>
      </c>
    </row>
    <row r="12" spans="3:4">
      <c r="C12" t="s">
        <v>257</v>
      </c>
      <c r="D12" t="s">
        <v>257</v>
      </c>
    </row>
    <row r="13" spans="3:4">
      <c r="C13" t="s">
        <v>257</v>
      </c>
      <c r="D13" t="s">
        <v>257</v>
      </c>
    </row>
    <row r="14" spans="3:4">
      <c r="C14" t="s">
        <v>257</v>
      </c>
      <c r="D14" t="s">
        <v>257</v>
      </c>
    </row>
    <row r="15" spans="3:4">
      <c r="C15" t="s">
        <v>257</v>
      </c>
      <c r="D15" t="s">
        <v>257</v>
      </c>
    </row>
    <row r="16" spans="3:4">
      <c r="C16" t="s">
        <v>257</v>
      </c>
      <c r="D16" t="s">
        <v>257</v>
      </c>
    </row>
    <row r="17" spans="3:4">
      <c r="C17" t="s">
        <v>257</v>
      </c>
      <c r="D17" t="s">
        <v>257</v>
      </c>
    </row>
    <row r="18" spans="3:4">
      <c r="C18" t="s">
        <v>257</v>
      </c>
      <c r="D18" t="s">
        <v>257</v>
      </c>
    </row>
    <row r="19" spans="3:4">
      <c r="C19" t="s">
        <v>257</v>
      </c>
      <c r="D19" t="s">
        <v>257</v>
      </c>
    </row>
    <row r="20" spans="3:4">
      <c r="C20" t="s">
        <v>257</v>
      </c>
      <c r="D20" t="s">
        <v>257</v>
      </c>
    </row>
    <row r="21" spans="3:4">
      <c r="C21" t="s">
        <v>257</v>
      </c>
      <c r="D21" t="s">
        <v>257</v>
      </c>
    </row>
    <row r="22" spans="3:4">
      <c r="C22" t="s">
        <v>257</v>
      </c>
      <c r="D22" t="s">
        <v>257</v>
      </c>
    </row>
    <row r="23" spans="3:4">
      <c r="C23" t="s">
        <v>257</v>
      </c>
      <c r="D23" t="s">
        <v>257</v>
      </c>
    </row>
    <row r="24" spans="3:4">
      <c r="C24" t="s">
        <v>257</v>
      </c>
      <c r="D24" t="s">
        <v>257</v>
      </c>
    </row>
    <row r="25" spans="3:4">
      <c r="C25" t="s">
        <v>257</v>
      </c>
      <c r="D25" t="s">
        <v>257</v>
      </c>
    </row>
    <row r="26" spans="3:4">
      <c r="C26" t="s">
        <v>257</v>
      </c>
      <c r="D26" t="s">
        <v>257</v>
      </c>
    </row>
    <row r="27" spans="3:4">
      <c r="C27" t="s">
        <v>257</v>
      </c>
      <c r="D27" t="s">
        <v>257</v>
      </c>
    </row>
    <row r="28" spans="3:4">
      <c r="C28" t="s">
        <v>257</v>
      </c>
      <c r="D28" t="s">
        <v>257</v>
      </c>
    </row>
    <row r="29" spans="3:4">
      <c r="C29" t="s">
        <v>257</v>
      </c>
      <c r="D29" t="s">
        <v>257</v>
      </c>
    </row>
    <row r="30" spans="3:4">
      <c r="C30" t="s">
        <v>257</v>
      </c>
      <c r="D30" t="s">
        <v>257</v>
      </c>
    </row>
    <row r="31" spans="3:4">
      <c r="C31" t="s">
        <v>257</v>
      </c>
      <c r="D31" t="s">
        <v>257</v>
      </c>
    </row>
    <row r="32" spans="3:4">
      <c r="C32" t="s">
        <v>257</v>
      </c>
      <c r="D32" t="s">
        <v>257</v>
      </c>
    </row>
    <row r="33" spans="3:4">
      <c r="C33" t="s">
        <v>257</v>
      </c>
      <c r="D33" t="s">
        <v>257</v>
      </c>
    </row>
    <row r="34" spans="3:4">
      <c r="C34" t="s">
        <v>257</v>
      </c>
      <c r="D34" t="s">
        <v>257</v>
      </c>
    </row>
    <row r="35" spans="3:4">
      <c r="C35" t="s">
        <v>257</v>
      </c>
      <c r="D35" t="s">
        <v>257</v>
      </c>
    </row>
    <row r="36" spans="3:4">
      <c r="C36" t="s">
        <v>257</v>
      </c>
      <c r="D36" t="s">
        <v>257</v>
      </c>
    </row>
    <row r="37" spans="3:4">
      <c r="C37" t="s">
        <v>257</v>
      </c>
      <c r="D37" t="s">
        <v>257</v>
      </c>
    </row>
    <row r="38" spans="3:4">
      <c r="C38" t="s">
        <v>257</v>
      </c>
      <c r="D38" t="s">
        <v>257</v>
      </c>
    </row>
    <row r="39" spans="3:4">
      <c r="C39" t="s">
        <v>257</v>
      </c>
      <c r="D39" t="s">
        <v>257</v>
      </c>
    </row>
    <row r="40" spans="3:4">
      <c r="C40" t="s">
        <v>257</v>
      </c>
      <c r="D40" t="s">
        <v>257</v>
      </c>
    </row>
    <row r="41" spans="3:4">
      <c r="C41" t="s">
        <v>257</v>
      </c>
      <c r="D41" t="s">
        <v>257</v>
      </c>
    </row>
    <row r="42" spans="3:4">
      <c r="C42" t="s">
        <v>257</v>
      </c>
      <c r="D42" t="s">
        <v>257</v>
      </c>
    </row>
    <row r="43" spans="3:4">
      <c r="C43" t="s">
        <v>257</v>
      </c>
      <c r="D43" t="s">
        <v>257</v>
      </c>
    </row>
    <row r="44" spans="3:4">
      <c r="C44" t="s">
        <v>257</v>
      </c>
      <c r="D44" t="s">
        <v>257</v>
      </c>
    </row>
    <row r="45" spans="3:4">
      <c r="C45" t="s">
        <v>257</v>
      </c>
      <c r="D45" t="s">
        <v>257</v>
      </c>
    </row>
    <row r="46" spans="3:4">
      <c r="C46" t="s">
        <v>257</v>
      </c>
      <c r="D46" t="s">
        <v>257</v>
      </c>
    </row>
    <row r="47" spans="3:4">
      <c r="C47" t="s">
        <v>257</v>
      </c>
      <c r="D47" t="s">
        <v>257</v>
      </c>
    </row>
    <row r="48" spans="3:4">
      <c r="C48" t="s">
        <v>257</v>
      </c>
      <c r="D48" t="s">
        <v>257</v>
      </c>
    </row>
    <row r="49" spans="3:4">
      <c r="C49" t="s">
        <v>257</v>
      </c>
      <c r="D49" t="s">
        <v>257</v>
      </c>
    </row>
    <row r="50" spans="3:4">
      <c r="C50" t="s">
        <v>257</v>
      </c>
      <c r="D50" t="s">
        <v>257</v>
      </c>
    </row>
    <row r="51" spans="3:4">
      <c r="C51" t="s">
        <v>257</v>
      </c>
      <c r="D51" t="s">
        <v>257</v>
      </c>
    </row>
    <row r="52" spans="3:4">
      <c r="C52" t="s">
        <v>257</v>
      </c>
      <c r="D52" t="s">
        <v>257</v>
      </c>
    </row>
    <row r="53" spans="3:4">
      <c r="C53" t="s">
        <v>257</v>
      </c>
      <c r="D53" t="s">
        <v>257</v>
      </c>
    </row>
    <row r="54" spans="3:4">
      <c r="C54" t="s">
        <v>257</v>
      </c>
      <c r="D54" t="s">
        <v>257</v>
      </c>
    </row>
    <row r="55" spans="3:4">
      <c r="C55" t="s">
        <v>257</v>
      </c>
      <c r="D55" t="s">
        <v>257</v>
      </c>
    </row>
    <row r="56" spans="3:4">
      <c r="C56" t="s">
        <v>257</v>
      </c>
      <c r="D56" t="s">
        <v>257</v>
      </c>
    </row>
    <row r="57" spans="3:4">
      <c r="C57" t="s">
        <v>257</v>
      </c>
      <c r="D57" t="s">
        <v>257</v>
      </c>
    </row>
    <row r="58" spans="3:4">
      <c r="C58" t="s">
        <v>257</v>
      </c>
      <c r="D58" t="s">
        <v>257</v>
      </c>
    </row>
    <row r="59" spans="3:4">
      <c r="C59" t="s">
        <v>257</v>
      </c>
      <c r="D59" t="s">
        <v>257</v>
      </c>
    </row>
    <row r="60" spans="3:4">
      <c r="C60" t="s">
        <v>257</v>
      </c>
      <c r="D60" t="s">
        <v>257</v>
      </c>
    </row>
    <row r="61" spans="3:4">
      <c r="C61" t="s">
        <v>257</v>
      </c>
      <c r="D61" t="s">
        <v>257</v>
      </c>
    </row>
    <row r="62" spans="3:4">
      <c r="C62" t="s">
        <v>257</v>
      </c>
      <c r="D62" t="s">
        <v>257</v>
      </c>
    </row>
    <row r="63" spans="3:4">
      <c r="C63" t="s">
        <v>257</v>
      </c>
      <c r="D63" t="s">
        <v>257</v>
      </c>
    </row>
    <row r="64" spans="3:4">
      <c r="C64" t="s">
        <v>257</v>
      </c>
      <c r="D64" t="s">
        <v>257</v>
      </c>
    </row>
    <row r="65" spans="3:4">
      <c r="C65" t="s">
        <v>257</v>
      </c>
      <c r="D65" t="s">
        <v>257</v>
      </c>
    </row>
  </sheetData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255</v>
      </c>
      <c r="D7" t="s">
        <v>255</v>
      </c>
    </row>
    <row r="8" spans="3:4">
      <c r="C8" t="s">
        <v>255</v>
      </c>
      <c r="D8" t="s">
        <v>255</v>
      </c>
    </row>
    <row r="9" spans="3:4">
      <c r="C9" t="s">
        <v>255</v>
      </c>
      <c r="D9" t="s">
        <v>255</v>
      </c>
    </row>
    <row r="10" spans="3:4">
      <c r="C10" t="s">
        <v>255</v>
      </c>
      <c r="D10" t="s">
        <v>255</v>
      </c>
    </row>
    <row r="11" spans="3:4">
      <c r="C11" t="s">
        <v>255</v>
      </c>
      <c r="D11" t="s">
        <v>255</v>
      </c>
    </row>
    <row r="12" spans="3:4">
      <c r="C12" t="s">
        <v>255</v>
      </c>
      <c r="D12" t="s">
        <v>255</v>
      </c>
    </row>
    <row r="13" spans="3:4">
      <c r="C13" t="s">
        <v>255</v>
      </c>
      <c r="D13" t="s">
        <v>255</v>
      </c>
    </row>
    <row r="14" spans="3:4">
      <c r="C14" t="s">
        <v>255</v>
      </c>
      <c r="D14" t="s">
        <v>255</v>
      </c>
    </row>
    <row r="15" spans="3:4">
      <c r="C15" t="s">
        <v>255</v>
      </c>
      <c r="D15" t="s">
        <v>255</v>
      </c>
    </row>
    <row r="16" spans="3:4">
      <c r="C16" t="s">
        <v>255</v>
      </c>
      <c r="D16" t="s">
        <v>255</v>
      </c>
    </row>
    <row r="17" spans="3:4">
      <c r="C17" t="s">
        <v>255</v>
      </c>
      <c r="D17" t="s">
        <v>255</v>
      </c>
    </row>
    <row r="18" spans="3:4">
      <c r="C18" t="s">
        <v>255</v>
      </c>
      <c r="D18" t="s">
        <v>255</v>
      </c>
    </row>
    <row r="19" spans="3:4">
      <c r="C19" t="s">
        <v>255</v>
      </c>
      <c r="D19" t="s">
        <v>255</v>
      </c>
    </row>
    <row r="20" spans="3:4">
      <c r="C20" t="s">
        <v>255</v>
      </c>
      <c r="D20" t="s">
        <v>255</v>
      </c>
    </row>
    <row r="21" spans="3:4">
      <c r="C21" t="s">
        <v>255</v>
      </c>
      <c r="D21" t="s">
        <v>255</v>
      </c>
    </row>
    <row r="22" spans="3:4">
      <c r="C22" t="s">
        <v>255</v>
      </c>
      <c r="D22" t="s">
        <v>255</v>
      </c>
    </row>
    <row r="23" spans="3:4">
      <c r="C23" t="s">
        <v>255</v>
      </c>
      <c r="D23" t="s">
        <v>255</v>
      </c>
    </row>
    <row r="24" spans="3:4">
      <c r="C24" t="s">
        <v>255</v>
      </c>
      <c r="D24" t="s">
        <v>255</v>
      </c>
    </row>
    <row r="25" spans="3:4">
      <c r="C25" t="s">
        <v>255</v>
      </c>
      <c r="D25" t="s">
        <v>255</v>
      </c>
    </row>
    <row r="26" spans="3:4">
      <c r="C26" t="s">
        <v>255</v>
      </c>
      <c r="D26" t="s">
        <v>255</v>
      </c>
    </row>
    <row r="27" spans="3:4">
      <c r="C27" t="s">
        <v>255</v>
      </c>
      <c r="D27" t="s">
        <v>255</v>
      </c>
    </row>
    <row r="28" spans="3:4">
      <c r="C28" t="s">
        <v>255</v>
      </c>
      <c r="D28" t="s">
        <v>255</v>
      </c>
    </row>
    <row r="29" spans="3:4">
      <c r="C29" t="s">
        <v>255</v>
      </c>
      <c r="D29" t="s">
        <v>255</v>
      </c>
    </row>
    <row r="30" spans="3:4">
      <c r="C30" t="s">
        <v>255</v>
      </c>
      <c r="D30" t="s">
        <v>255</v>
      </c>
    </row>
    <row r="31" spans="3:4">
      <c r="C31" t="s">
        <v>255</v>
      </c>
      <c r="D31" t="s">
        <v>255</v>
      </c>
    </row>
    <row r="32" spans="3:4">
      <c r="C32" t="s">
        <v>255</v>
      </c>
      <c r="D32" t="s">
        <v>255</v>
      </c>
    </row>
    <row r="33" spans="3:4">
      <c r="C33" t="s">
        <v>255</v>
      </c>
      <c r="D33" t="s">
        <v>255</v>
      </c>
    </row>
    <row r="34" spans="3:4">
      <c r="C34" t="s">
        <v>255</v>
      </c>
      <c r="D34" t="s">
        <v>255</v>
      </c>
    </row>
    <row r="35" spans="3:4">
      <c r="C35" t="s">
        <v>255</v>
      </c>
      <c r="D35" t="s">
        <v>255</v>
      </c>
    </row>
    <row r="36" spans="3:4">
      <c r="C36" t="s">
        <v>255</v>
      </c>
      <c r="D36" t="s">
        <v>255</v>
      </c>
    </row>
    <row r="37" spans="3:4">
      <c r="C37" t="s">
        <v>255</v>
      </c>
      <c r="D37" t="s">
        <v>255</v>
      </c>
    </row>
    <row r="38" spans="3:4">
      <c r="C38" t="s">
        <v>255</v>
      </c>
      <c r="D38" t="s">
        <v>255</v>
      </c>
    </row>
    <row r="39" spans="3:4">
      <c r="C39" t="s">
        <v>255</v>
      </c>
      <c r="D39" t="s">
        <v>255</v>
      </c>
    </row>
    <row r="40" spans="3:4">
      <c r="C40" t="s">
        <v>255</v>
      </c>
      <c r="D40" t="s">
        <v>255</v>
      </c>
    </row>
    <row r="41" spans="3:4">
      <c r="C41" t="s">
        <v>255</v>
      </c>
      <c r="D41" t="s">
        <v>255</v>
      </c>
    </row>
    <row r="42" spans="3:4">
      <c r="C42" t="s">
        <v>255</v>
      </c>
      <c r="D42" t="s">
        <v>255</v>
      </c>
    </row>
    <row r="43" spans="3:4">
      <c r="C43" t="s">
        <v>255</v>
      </c>
      <c r="D43" t="s">
        <v>255</v>
      </c>
    </row>
    <row r="44" spans="3:4">
      <c r="C44" t="s">
        <v>255</v>
      </c>
      <c r="D44" t="s">
        <v>255</v>
      </c>
    </row>
    <row r="45" spans="3:4">
      <c r="C45" t="s">
        <v>255</v>
      </c>
      <c r="D45" t="s">
        <v>255</v>
      </c>
    </row>
    <row r="46" spans="3:4">
      <c r="C46" t="s">
        <v>255</v>
      </c>
      <c r="D46" t="s">
        <v>255</v>
      </c>
    </row>
    <row r="47" spans="3:4">
      <c r="C47" t="s">
        <v>255</v>
      </c>
      <c r="D47" t="s">
        <v>255</v>
      </c>
    </row>
    <row r="48" spans="3:4">
      <c r="C48" t="s">
        <v>255</v>
      </c>
      <c r="D48" t="s">
        <v>255</v>
      </c>
    </row>
    <row r="49" spans="3:4">
      <c r="C49" t="s">
        <v>255</v>
      </c>
      <c r="D49" t="s">
        <v>255</v>
      </c>
    </row>
    <row r="50" spans="3:4">
      <c r="C50" t="s">
        <v>255</v>
      </c>
      <c r="D50" t="s">
        <v>255</v>
      </c>
    </row>
    <row r="51" spans="3:4">
      <c r="C51" t="s">
        <v>255</v>
      </c>
      <c r="D51" t="s">
        <v>255</v>
      </c>
    </row>
    <row r="52" spans="3:4">
      <c r="C52" t="s">
        <v>255</v>
      </c>
      <c r="D52" t="s">
        <v>255</v>
      </c>
    </row>
    <row r="53" spans="3:4">
      <c r="C53" t="s">
        <v>255</v>
      </c>
      <c r="D53" t="s">
        <v>255</v>
      </c>
    </row>
    <row r="54" spans="3:4">
      <c r="C54" t="s">
        <v>255</v>
      </c>
      <c r="D54" t="s">
        <v>255</v>
      </c>
    </row>
    <row r="55" spans="3:4">
      <c r="C55" t="s">
        <v>255</v>
      </c>
      <c r="D55" t="s">
        <v>255</v>
      </c>
    </row>
    <row r="56" spans="3:4">
      <c r="C56" t="s">
        <v>255</v>
      </c>
      <c r="D56" t="s">
        <v>255</v>
      </c>
    </row>
    <row r="57" spans="3:4">
      <c r="C57" t="s">
        <v>255</v>
      </c>
      <c r="D57" t="s">
        <v>255</v>
      </c>
    </row>
    <row r="58" spans="3:4">
      <c r="C58" t="s">
        <v>255</v>
      </c>
      <c r="D58" t="s">
        <v>255</v>
      </c>
    </row>
    <row r="59" spans="3:4">
      <c r="C59" t="s">
        <v>255</v>
      </c>
      <c r="D59" t="s">
        <v>255</v>
      </c>
    </row>
    <row r="60" spans="3:4">
      <c r="C60" t="s">
        <v>255</v>
      </c>
      <c r="D60" t="s">
        <v>255</v>
      </c>
    </row>
    <row r="61" spans="3:4">
      <c r="C61" t="s">
        <v>255</v>
      </c>
      <c r="D61" t="s">
        <v>255</v>
      </c>
    </row>
    <row r="62" spans="3:4">
      <c r="C62" t="s">
        <v>255</v>
      </c>
      <c r="D62" t="s">
        <v>255</v>
      </c>
    </row>
    <row r="63" spans="3:4">
      <c r="C63" t="s">
        <v>255</v>
      </c>
      <c r="D63" t="s">
        <v>255</v>
      </c>
    </row>
    <row r="64" spans="3:4">
      <c r="C64" t="s">
        <v>255</v>
      </c>
      <c r="D64" t="s">
        <v>255</v>
      </c>
    </row>
    <row r="65" spans="3:4">
      <c r="C65" t="s">
        <v>255</v>
      </c>
      <c r="D65" t="s">
        <v>255</v>
      </c>
    </row>
  </sheetData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253</v>
      </c>
      <c r="D7" t="s">
        <v>253</v>
      </c>
    </row>
    <row r="8" spans="3:4">
      <c r="C8" t="s">
        <v>253</v>
      </c>
      <c r="D8" t="s">
        <v>253</v>
      </c>
    </row>
    <row r="9" spans="3:4">
      <c r="C9" t="s">
        <v>253</v>
      </c>
      <c r="D9" t="s">
        <v>253</v>
      </c>
    </row>
    <row r="10" spans="3:4">
      <c r="C10" t="s">
        <v>253</v>
      </c>
      <c r="D10" t="s">
        <v>253</v>
      </c>
    </row>
    <row r="11" spans="3:4">
      <c r="C11" t="s">
        <v>253</v>
      </c>
      <c r="D11" t="s">
        <v>253</v>
      </c>
    </row>
    <row r="12" spans="3:4">
      <c r="C12" t="s">
        <v>253</v>
      </c>
      <c r="D12" t="s">
        <v>253</v>
      </c>
    </row>
    <row r="13" spans="3:4">
      <c r="C13" t="s">
        <v>253</v>
      </c>
      <c r="D13" t="s">
        <v>253</v>
      </c>
    </row>
    <row r="14" spans="3:4">
      <c r="C14" t="s">
        <v>253</v>
      </c>
      <c r="D14" t="s">
        <v>253</v>
      </c>
    </row>
    <row r="15" spans="3:4">
      <c r="C15" t="s">
        <v>253</v>
      </c>
      <c r="D15" t="s">
        <v>253</v>
      </c>
    </row>
    <row r="16" spans="3:4">
      <c r="C16" t="s">
        <v>253</v>
      </c>
      <c r="D16" t="s">
        <v>253</v>
      </c>
    </row>
    <row r="17" spans="3:4">
      <c r="C17" t="s">
        <v>253</v>
      </c>
      <c r="D17" t="s">
        <v>253</v>
      </c>
    </row>
    <row r="18" spans="3:4">
      <c r="C18" t="s">
        <v>253</v>
      </c>
      <c r="D18" t="s">
        <v>253</v>
      </c>
    </row>
    <row r="19" spans="3:4">
      <c r="C19" t="s">
        <v>253</v>
      </c>
      <c r="D19" t="s">
        <v>253</v>
      </c>
    </row>
    <row r="20" spans="3:4">
      <c r="C20" t="s">
        <v>253</v>
      </c>
      <c r="D20" t="s">
        <v>253</v>
      </c>
    </row>
    <row r="21" spans="3:4">
      <c r="C21" t="s">
        <v>253</v>
      </c>
      <c r="D21" t="s">
        <v>253</v>
      </c>
    </row>
    <row r="22" spans="3:4">
      <c r="C22" t="s">
        <v>253</v>
      </c>
      <c r="D22" t="s">
        <v>253</v>
      </c>
    </row>
    <row r="23" spans="3:4">
      <c r="C23" t="s">
        <v>253</v>
      </c>
      <c r="D23" t="s">
        <v>253</v>
      </c>
    </row>
    <row r="24" spans="3:4">
      <c r="C24" t="s">
        <v>253</v>
      </c>
      <c r="D24" t="s">
        <v>253</v>
      </c>
    </row>
    <row r="25" spans="3:4">
      <c r="C25" t="s">
        <v>253</v>
      </c>
      <c r="D25" t="s">
        <v>253</v>
      </c>
    </row>
    <row r="26" spans="3:4">
      <c r="C26" t="s">
        <v>253</v>
      </c>
      <c r="D26" t="s">
        <v>253</v>
      </c>
    </row>
    <row r="27" spans="3:4">
      <c r="C27" t="s">
        <v>253</v>
      </c>
      <c r="D27" t="s">
        <v>253</v>
      </c>
    </row>
    <row r="28" spans="3:4">
      <c r="C28" t="s">
        <v>253</v>
      </c>
      <c r="D28" t="s">
        <v>253</v>
      </c>
    </row>
    <row r="29" spans="3:4">
      <c r="C29" t="s">
        <v>253</v>
      </c>
      <c r="D29" t="s">
        <v>253</v>
      </c>
    </row>
    <row r="30" spans="3:4">
      <c r="C30" t="s">
        <v>253</v>
      </c>
      <c r="D30" t="s">
        <v>253</v>
      </c>
    </row>
    <row r="31" spans="3:4">
      <c r="C31" t="s">
        <v>253</v>
      </c>
      <c r="D31" t="s">
        <v>253</v>
      </c>
    </row>
    <row r="32" spans="3:4">
      <c r="C32" t="s">
        <v>253</v>
      </c>
      <c r="D32" t="s">
        <v>253</v>
      </c>
    </row>
    <row r="33" spans="3:4">
      <c r="C33" t="s">
        <v>253</v>
      </c>
      <c r="D33" t="s">
        <v>253</v>
      </c>
    </row>
    <row r="34" spans="3:4">
      <c r="C34" t="s">
        <v>253</v>
      </c>
      <c r="D34" t="s">
        <v>253</v>
      </c>
    </row>
    <row r="35" spans="3:4">
      <c r="C35" t="s">
        <v>253</v>
      </c>
      <c r="D35" t="s">
        <v>253</v>
      </c>
    </row>
    <row r="36" spans="3:4">
      <c r="C36" t="s">
        <v>253</v>
      </c>
      <c r="D36" t="s">
        <v>253</v>
      </c>
    </row>
    <row r="37" spans="3:4">
      <c r="C37" t="s">
        <v>253</v>
      </c>
      <c r="D37" t="s">
        <v>253</v>
      </c>
    </row>
    <row r="38" spans="3:4">
      <c r="C38" t="s">
        <v>253</v>
      </c>
      <c r="D38" t="s">
        <v>253</v>
      </c>
    </row>
    <row r="39" spans="3:4">
      <c r="C39" t="s">
        <v>253</v>
      </c>
      <c r="D39" t="s">
        <v>253</v>
      </c>
    </row>
    <row r="40" spans="3:4">
      <c r="C40" t="s">
        <v>253</v>
      </c>
      <c r="D40" t="s">
        <v>253</v>
      </c>
    </row>
    <row r="41" spans="3:4">
      <c r="C41" t="s">
        <v>253</v>
      </c>
      <c r="D41" t="s">
        <v>253</v>
      </c>
    </row>
    <row r="42" spans="3:4">
      <c r="C42" t="s">
        <v>253</v>
      </c>
      <c r="D42" t="s">
        <v>253</v>
      </c>
    </row>
    <row r="43" spans="3:4">
      <c r="C43" t="s">
        <v>253</v>
      </c>
      <c r="D43" t="s">
        <v>253</v>
      </c>
    </row>
    <row r="44" spans="3:4">
      <c r="C44" t="s">
        <v>253</v>
      </c>
      <c r="D44" t="s">
        <v>253</v>
      </c>
    </row>
    <row r="45" spans="3:4">
      <c r="C45" t="s">
        <v>253</v>
      </c>
      <c r="D45" t="s">
        <v>253</v>
      </c>
    </row>
    <row r="46" spans="3:4">
      <c r="C46" t="s">
        <v>253</v>
      </c>
      <c r="D46" t="s">
        <v>253</v>
      </c>
    </row>
    <row r="47" spans="3:4">
      <c r="C47" t="s">
        <v>253</v>
      </c>
      <c r="D47" t="s">
        <v>253</v>
      </c>
    </row>
    <row r="48" spans="3:4">
      <c r="C48" t="s">
        <v>253</v>
      </c>
      <c r="D48" t="s">
        <v>253</v>
      </c>
    </row>
    <row r="49" spans="3:4">
      <c r="C49" t="s">
        <v>253</v>
      </c>
      <c r="D49" t="s">
        <v>253</v>
      </c>
    </row>
    <row r="50" spans="3:4">
      <c r="C50" t="s">
        <v>253</v>
      </c>
      <c r="D50" t="s">
        <v>253</v>
      </c>
    </row>
    <row r="51" spans="3:4">
      <c r="C51" t="s">
        <v>253</v>
      </c>
      <c r="D51" t="s">
        <v>253</v>
      </c>
    </row>
    <row r="52" spans="3:4">
      <c r="C52" t="s">
        <v>253</v>
      </c>
      <c r="D52" t="s">
        <v>253</v>
      </c>
    </row>
    <row r="53" spans="3:4">
      <c r="C53" t="s">
        <v>253</v>
      </c>
      <c r="D53" t="s">
        <v>253</v>
      </c>
    </row>
    <row r="54" spans="3:4">
      <c r="C54" t="s">
        <v>253</v>
      </c>
      <c r="D54" t="s">
        <v>253</v>
      </c>
    </row>
    <row r="55" spans="3:4">
      <c r="C55" t="s">
        <v>253</v>
      </c>
      <c r="D55" t="s">
        <v>253</v>
      </c>
    </row>
    <row r="56" spans="3:4">
      <c r="C56" t="s">
        <v>253</v>
      </c>
      <c r="D56" t="s">
        <v>253</v>
      </c>
    </row>
    <row r="57" spans="3:4">
      <c r="C57" t="s">
        <v>253</v>
      </c>
      <c r="D57" t="s">
        <v>253</v>
      </c>
    </row>
    <row r="58" spans="3:4">
      <c r="C58" t="s">
        <v>253</v>
      </c>
      <c r="D58" t="s">
        <v>253</v>
      </c>
    </row>
    <row r="59" spans="3:4">
      <c r="C59" t="s">
        <v>253</v>
      </c>
      <c r="D59" t="s">
        <v>253</v>
      </c>
    </row>
    <row r="60" spans="3:4">
      <c r="C60" t="s">
        <v>253</v>
      </c>
      <c r="D60" t="s">
        <v>253</v>
      </c>
    </row>
    <row r="61" spans="3:4">
      <c r="C61" t="s">
        <v>253</v>
      </c>
      <c r="D61" t="s">
        <v>253</v>
      </c>
    </row>
    <row r="62" spans="3:4">
      <c r="C62" t="s">
        <v>253</v>
      </c>
      <c r="D62" t="s">
        <v>253</v>
      </c>
    </row>
    <row r="63" spans="3:4">
      <c r="C63" t="s">
        <v>253</v>
      </c>
      <c r="D63" t="s">
        <v>253</v>
      </c>
    </row>
    <row r="64" spans="3:4">
      <c r="C64" t="s">
        <v>253</v>
      </c>
      <c r="D64" t="s">
        <v>253</v>
      </c>
    </row>
    <row r="65" spans="3:4">
      <c r="C65" t="s">
        <v>253</v>
      </c>
      <c r="D65" t="s">
        <v>253</v>
      </c>
    </row>
  </sheetData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252</v>
      </c>
      <c r="D7" t="s">
        <v>252</v>
      </c>
    </row>
    <row r="8" spans="3:4">
      <c r="C8" t="s">
        <v>252</v>
      </c>
      <c r="D8" t="s">
        <v>252</v>
      </c>
    </row>
    <row r="9" spans="3:4">
      <c r="C9" t="s">
        <v>252</v>
      </c>
      <c r="D9" t="s">
        <v>252</v>
      </c>
    </row>
    <row r="10" spans="3:4">
      <c r="C10" t="s">
        <v>252</v>
      </c>
      <c r="D10" t="s">
        <v>252</v>
      </c>
    </row>
    <row r="11" spans="3:4">
      <c r="C11" t="s">
        <v>252</v>
      </c>
      <c r="D11" t="s">
        <v>252</v>
      </c>
    </row>
    <row r="12" spans="3:4">
      <c r="C12" t="s">
        <v>252</v>
      </c>
      <c r="D12" t="s">
        <v>252</v>
      </c>
    </row>
    <row r="13" spans="3:4">
      <c r="C13" t="s">
        <v>252</v>
      </c>
      <c r="D13" t="s">
        <v>252</v>
      </c>
    </row>
    <row r="14" spans="3:4">
      <c r="C14" t="s">
        <v>252</v>
      </c>
      <c r="D14" t="s">
        <v>252</v>
      </c>
    </row>
    <row r="15" spans="3:4">
      <c r="C15" t="s">
        <v>252</v>
      </c>
      <c r="D15" t="s">
        <v>252</v>
      </c>
    </row>
    <row r="16" spans="3:4">
      <c r="C16" t="s">
        <v>252</v>
      </c>
      <c r="D16" t="s">
        <v>252</v>
      </c>
    </row>
    <row r="17" spans="3:4">
      <c r="C17" t="s">
        <v>252</v>
      </c>
      <c r="D17" t="s">
        <v>252</v>
      </c>
    </row>
    <row r="18" spans="3:4">
      <c r="C18" t="s">
        <v>252</v>
      </c>
      <c r="D18" t="s">
        <v>252</v>
      </c>
    </row>
    <row r="19" spans="3:4">
      <c r="C19" t="s">
        <v>252</v>
      </c>
      <c r="D19" t="s">
        <v>252</v>
      </c>
    </row>
    <row r="20" spans="3:4">
      <c r="C20" t="s">
        <v>252</v>
      </c>
      <c r="D20" t="s">
        <v>252</v>
      </c>
    </row>
    <row r="21" spans="3:4">
      <c r="C21" t="s">
        <v>252</v>
      </c>
      <c r="D21" t="s">
        <v>252</v>
      </c>
    </row>
    <row r="22" spans="3:4">
      <c r="C22" t="s">
        <v>252</v>
      </c>
      <c r="D22" t="s">
        <v>252</v>
      </c>
    </row>
    <row r="23" spans="3:4">
      <c r="C23" t="s">
        <v>252</v>
      </c>
      <c r="D23" t="s">
        <v>252</v>
      </c>
    </row>
    <row r="24" spans="3:4">
      <c r="C24" t="s">
        <v>252</v>
      </c>
      <c r="D24" t="s">
        <v>252</v>
      </c>
    </row>
    <row r="25" spans="3:4">
      <c r="C25" t="s">
        <v>252</v>
      </c>
      <c r="D25" t="s">
        <v>252</v>
      </c>
    </row>
    <row r="26" spans="3:4">
      <c r="C26" t="s">
        <v>252</v>
      </c>
      <c r="D26" t="s">
        <v>252</v>
      </c>
    </row>
    <row r="27" spans="3:4">
      <c r="C27" t="s">
        <v>252</v>
      </c>
      <c r="D27" t="s">
        <v>252</v>
      </c>
    </row>
    <row r="28" spans="3:4">
      <c r="C28" t="s">
        <v>252</v>
      </c>
      <c r="D28" t="s">
        <v>252</v>
      </c>
    </row>
    <row r="29" spans="3:4">
      <c r="C29" t="s">
        <v>252</v>
      </c>
      <c r="D29" t="s">
        <v>252</v>
      </c>
    </row>
    <row r="30" spans="3:4">
      <c r="C30" t="s">
        <v>252</v>
      </c>
      <c r="D30" t="s">
        <v>252</v>
      </c>
    </row>
    <row r="31" spans="3:4">
      <c r="C31" t="s">
        <v>252</v>
      </c>
      <c r="D31" t="s">
        <v>252</v>
      </c>
    </row>
    <row r="32" spans="3:4">
      <c r="C32" t="s">
        <v>252</v>
      </c>
      <c r="D32" t="s">
        <v>252</v>
      </c>
    </row>
    <row r="33" spans="3:4">
      <c r="C33" t="s">
        <v>252</v>
      </c>
      <c r="D33" t="s">
        <v>252</v>
      </c>
    </row>
    <row r="34" spans="3:4">
      <c r="C34" t="s">
        <v>252</v>
      </c>
      <c r="D34" t="s">
        <v>252</v>
      </c>
    </row>
    <row r="35" spans="3:4">
      <c r="C35" t="s">
        <v>252</v>
      </c>
      <c r="D35" t="s">
        <v>252</v>
      </c>
    </row>
    <row r="36" spans="3:4">
      <c r="C36" t="s">
        <v>252</v>
      </c>
      <c r="D36" t="s">
        <v>252</v>
      </c>
    </row>
    <row r="37" spans="3:4">
      <c r="C37" t="s">
        <v>252</v>
      </c>
      <c r="D37" t="s">
        <v>252</v>
      </c>
    </row>
    <row r="38" spans="3:4">
      <c r="C38" t="s">
        <v>252</v>
      </c>
      <c r="D38" t="s">
        <v>252</v>
      </c>
    </row>
    <row r="39" spans="3:4">
      <c r="C39" t="s">
        <v>252</v>
      </c>
      <c r="D39" t="s">
        <v>252</v>
      </c>
    </row>
    <row r="40" spans="3:4">
      <c r="C40" t="s">
        <v>252</v>
      </c>
      <c r="D40" t="s">
        <v>252</v>
      </c>
    </row>
    <row r="41" spans="3:4">
      <c r="C41" t="s">
        <v>252</v>
      </c>
      <c r="D41" t="s">
        <v>252</v>
      </c>
    </row>
    <row r="42" spans="3:4">
      <c r="C42" t="s">
        <v>252</v>
      </c>
      <c r="D42" t="s">
        <v>252</v>
      </c>
    </row>
    <row r="43" spans="3:4">
      <c r="C43" t="s">
        <v>252</v>
      </c>
      <c r="D43" t="s">
        <v>252</v>
      </c>
    </row>
    <row r="44" spans="3:4">
      <c r="C44" t="s">
        <v>252</v>
      </c>
      <c r="D44" t="s">
        <v>252</v>
      </c>
    </row>
    <row r="45" spans="3:4">
      <c r="C45" t="s">
        <v>252</v>
      </c>
      <c r="D45" t="s">
        <v>252</v>
      </c>
    </row>
    <row r="46" spans="3:4">
      <c r="C46" t="s">
        <v>252</v>
      </c>
      <c r="D46" t="s">
        <v>252</v>
      </c>
    </row>
    <row r="47" spans="3:4">
      <c r="C47" t="s">
        <v>252</v>
      </c>
      <c r="D47" t="s">
        <v>252</v>
      </c>
    </row>
    <row r="48" spans="3:4">
      <c r="C48" t="s">
        <v>252</v>
      </c>
      <c r="D48" t="s">
        <v>252</v>
      </c>
    </row>
    <row r="49" spans="3:4">
      <c r="C49" t="s">
        <v>252</v>
      </c>
      <c r="D49" t="s">
        <v>252</v>
      </c>
    </row>
    <row r="50" spans="3:4">
      <c r="C50" t="s">
        <v>252</v>
      </c>
      <c r="D50" t="s">
        <v>252</v>
      </c>
    </row>
    <row r="51" spans="3:4">
      <c r="C51" t="s">
        <v>252</v>
      </c>
      <c r="D51" t="s">
        <v>252</v>
      </c>
    </row>
    <row r="52" spans="3:4">
      <c r="C52" t="s">
        <v>252</v>
      </c>
      <c r="D52" t="s">
        <v>252</v>
      </c>
    </row>
    <row r="53" spans="3:4">
      <c r="C53" t="s">
        <v>252</v>
      </c>
      <c r="D53" t="s">
        <v>252</v>
      </c>
    </row>
    <row r="54" spans="3:4">
      <c r="C54" t="s">
        <v>252</v>
      </c>
      <c r="D54" t="s">
        <v>252</v>
      </c>
    </row>
    <row r="55" spans="3:4">
      <c r="C55" t="s">
        <v>252</v>
      </c>
      <c r="D55" t="s">
        <v>252</v>
      </c>
    </row>
    <row r="56" spans="3:4">
      <c r="C56" t="s">
        <v>252</v>
      </c>
      <c r="D56" t="s">
        <v>252</v>
      </c>
    </row>
    <row r="57" spans="3:4">
      <c r="C57" t="s">
        <v>252</v>
      </c>
      <c r="D57" t="s">
        <v>252</v>
      </c>
    </row>
    <row r="58" spans="3:4">
      <c r="C58" t="s">
        <v>252</v>
      </c>
      <c r="D58" t="s">
        <v>252</v>
      </c>
    </row>
    <row r="59" spans="3:4">
      <c r="C59" t="s">
        <v>252</v>
      </c>
      <c r="D59" t="s">
        <v>252</v>
      </c>
    </row>
    <row r="60" spans="3:4">
      <c r="C60" t="s">
        <v>252</v>
      </c>
      <c r="D60" t="s">
        <v>252</v>
      </c>
    </row>
    <row r="61" spans="3:4">
      <c r="C61" t="s">
        <v>252</v>
      </c>
      <c r="D61" t="s">
        <v>252</v>
      </c>
    </row>
    <row r="62" spans="3:4">
      <c r="C62" t="s">
        <v>252</v>
      </c>
      <c r="D62" t="s">
        <v>252</v>
      </c>
    </row>
    <row r="63" spans="3:4">
      <c r="C63" t="s">
        <v>252</v>
      </c>
      <c r="D63" t="s">
        <v>252</v>
      </c>
    </row>
    <row r="64" spans="3:4">
      <c r="C64" t="s">
        <v>252</v>
      </c>
      <c r="D64" t="s">
        <v>252</v>
      </c>
    </row>
    <row r="65" spans="3:4">
      <c r="C65" t="s">
        <v>252</v>
      </c>
      <c r="D65" t="s">
        <v>252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47" sqref="E47"/>
    </sheetView>
  </sheetViews>
  <sheetFormatPr defaultColWidth="11.7109375" defaultRowHeight="15"/>
  <cols>
    <col min="1" max="1" width="61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251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5806658.9299999997</v>
      </c>
      <c r="D8" s="11">
        <f>D9+D11+D14+D15</f>
        <v>5484769.0500000007</v>
      </c>
    </row>
    <row r="9" spans="1:4" ht="30">
      <c r="A9" s="12" t="s">
        <v>90</v>
      </c>
      <c r="B9" s="13" t="s">
        <v>91</v>
      </c>
      <c r="C9" s="14">
        <f>5102624.16</f>
        <v>5102624.16</v>
      </c>
      <c r="D9" s="15">
        <f>4920338.57</f>
        <v>4920338.57</v>
      </c>
    </row>
    <row r="10" spans="1:4">
      <c r="A10" s="16" t="s">
        <v>92</v>
      </c>
      <c r="B10" s="17" t="s">
        <v>93</v>
      </c>
      <c r="C10" s="18">
        <f>3224002.39631336</f>
        <v>3224002.39631336</v>
      </c>
      <c r="D10" s="19">
        <f>_34h_E12</f>
        <v>3224002.39631336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704034.77</v>
      </c>
      <c r="D15" s="15">
        <f>SUM(D16:D24)</f>
        <v>564430.48</v>
      </c>
    </row>
    <row r="16" spans="1:4">
      <c r="A16" s="22" t="s">
        <v>103</v>
      </c>
      <c r="B16" s="17" t="s">
        <v>104</v>
      </c>
      <c r="C16" s="111">
        <v>450092.64</v>
      </c>
      <c r="D16" s="113">
        <v>273439.63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146099.4</f>
        <v>146099.4</v>
      </c>
      <c r="D18" s="19">
        <f>183146.89</f>
        <v>183146.89</v>
      </c>
    </row>
    <row r="19" spans="1:4">
      <c r="A19" s="22" t="s">
        <v>109</v>
      </c>
      <c r="B19" s="17" t="s">
        <v>110</v>
      </c>
      <c r="C19" s="18">
        <f>12564.96</f>
        <v>12564.96</v>
      </c>
      <c r="D19" s="19">
        <f>12573.4</f>
        <v>12573.4</v>
      </c>
    </row>
    <row r="20" spans="1:4">
      <c r="A20" s="22" t="s">
        <v>111</v>
      </c>
      <c r="B20" s="17" t="s">
        <v>112</v>
      </c>
      <c r="C20" s="18">
        <f>16606.5</f>
        <v>16606.5</v>
      </c>
      <c r="D20" s="19">
        <f>16599.29</f>
        <v>16599.29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78671.27</f>
        <v>78671.27</v>
      </c>
      <c r="D22" s="19">
        <f>78671.27</f>
        <v>78671.27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1632564.64</v>
      </c>
      <c r="D25" s="15">
        <f>D26+D27+D30+D28+D29+D31</f>
        <v>1304737.4100000001</v>
      </c>
    </row>
    <row r="26" spans="1:4" ht="20.25" customHeight="1">
      <c r="A26" s="24" t="s">
        <v>123</v>
      </c>
      <c r="B26" s="20" t="s">
        <v>124</v>
      </c>
      <c r="C26" s="18">
        <f>704743.2</f>
        <v>704743.2</v>
      </c>
      <c r="D26" s="19">
        <f>702995.31</f>
        <v>702995.31</v>
      </c>
    </row>
    <row r="27" spans="1:4" ht="33" customHeight="1">
      <c r="A27" s="24" t="s">
        <v>125</v>
      </c>
      <c r="B27" s="20" t="s">
        <v>126</v>
      </c>
      <c r="C27" s="18">
        <f>87135.96</f>
        <v>87135.96</v>
      </c>
      <c r="D27" s="19">
        <f>87174.33</f>
        <v>87174.33</v>
      </c>
    </row>
    <row r="28" spans="1:4" ht="34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87714.36</f>
        <v>87714.36</v>
      </c>
      <c r="D29" s="19">
        <f>86947.49</f>
        <v>86947.49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752971.12</v>
      </c>
      <c r="D31" s="15">
        <f>SUM(D32:D39)</f>
        <v>427620.28</v>
      </c>
    </row>
    <row r="32" spans="1:4" ht="18.75" customHeight="1">
      <c r="A32" s="24" t="s">
        <v>135</v>
      </c>
      <c r="B32" s="17" t="s">
        <v>136</v>
      </c>
      <c r="C32" s="18">
        <f>130183.48</f>
        <v>130183.48</v>
      </c>
      <c r="D32" s="19">
        <f>130183.52</f>
        <v>130183.52</v>
      </c>
    </row>
    <row r="33" spans="1:4">
      <c r="A33" s="24" t="s">
        <v>137</v>
      </c>
      <c r="B33" s="17" t="s">
        <v>138</v>
      </c>
      <c r="C33" s="18">
        <f>118253.04</f>
        <v>118253.04</v>
      </c>
      <c r="D33" s="19">
        <f>104491.32</f>
        <v>104491.32</v>
      </c>
    </row>
    <row r="34" spans="1:4">
      <c r="A34" s="24" t="s">
        <v>139</v>
      </c>
      <c r="B34" s="17" t="s">
        <v>140</v>
      </c>
      <c r="C34" s="18">
        <f>189610.32</f>
        <v>189610.32</v>
      </c>
      <c r="D34" s="19">
        <f>192945.44</f>
        <v>192945.44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314924.28000000003</v>
      </c>
      <c r="D39" s="19"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59004.63</v>
      </c>
      <c r="D45" s="27">
        <f>SUM(D46:D48)</f>
        <v>541880.1399999999</v>
      </c>
    </row>
    <row r="46" spans="1:4">
      <c r="A46" s="21" t="s">
        <v>163</v>
      </c>
      <c r="B46" s="17" t="s">
        <v>164</v>
      </c>
      <c r="C46" s="18">
        <f>50830.56</f>
        <v>50830.559999999998</v>
      </c>
      <c r="D46" s="19">
        <f>56313.53</f>
        <v>56313.53</v>
      </c>
    </row>
    <row r="47" spans="1:4">
      <c r="A47" s="21" t="s">
        <v>149</v>
      </c>
      <c r="B47" s="17" t="s">
        <v>165</v>
      </c>
      <c r="C47" s="18">
        <f>0</f>
        <v>0</v>
      </c>
      <c r="D47" s="101">
        <v>477392.54</v>
      </c>
    </row>
    <row r="48" spans="1:4">
      <c r="A48" s="21" t="s">
        <v>166</v>
      </c>
      <c r="B48" s="17" t="s">
        <v>167</v>
      </c>
      <c r="C48" s="18">
        <v>8174.07</v>
      </c>
      <c r="D48" s="19">
        <v>8174.07</v>
      </c>
    </row>
    <row r="49" spans="1:4">
      <c r="A49" s="8" t="s">
        <v>440</v>
      </c>
      <c r="B49" s="28" t="s">
        <v>168</v>
      </c>
      <c r="C49" s="29">
        <f>592931.4</f>
        <v>592931.4</v>
      </c>
      <c r="D49" s="30">
        <f>759773</f>
        <v>759773</v>
      </c>
    </row>
    <row r="50" spans="1:4">
      <c r="A50" s="8" t="s">
        <v>169</v>
      </c>
      <c r="B50" s="9" t="s">
        <v>170</v>
      </c>
      <c r="C50" s="14">
        <f>C8+C25+C40+C41+C42+C43+C44+C45+C49+C51+C52</f>
        <v>8091159.5999999996</v>
      </c>
      <c r="D50" s="15">
        <f>D8+D25+D40+D41+D42+D43+D44+D45+D49+D51+D52</f>
        <v>8091159.6000000006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4749096.54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4668431.94</f>
        <v>4668431.9400000004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80664.6</f>
        <v>80664.600000000006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2584740</f>
        <v>2584740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7333836.54</v>
      </c>
      <c r="D59" s="27">
        <f>D54+D57+D58</f>
        <v>0</v>
      </c>
    </row>
    <row r="60" spans="1:4" ht="25.5">
      <c r="A60" s="33" t="s">
        <v>188</v>
      </c>
      <c r="B60" s="9"/>
      <c r="C60" s="34">
        <v>30034</v>
      </c>
      <c r="D60" s="35">
        <v>30034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250</v>
      </c>
      <c r="D7" t="s">
        <v>250</v>
      </c>
    </row>
    <row r="8" spans="3:4">
      <c r="C8" t="s">
        <v>250</v>
      </c>
      <c r="D8" t="s">
        <v>250</v>
      </c>
    </row>
    <row r="9" spans="3:4">
      <c r="C9" t="s">
        <v>250</v>
      </c>
      <c r="D9" t="s">
        <v>250</v>
      </c>
    </row>
    <row r="10" spans="3:4">
      <c r="C10" t="s">
        <v>250</v>
      </c>
      <c r="D10" t="s">
        <v>250</v>
      </c>
    </row>
    <row r="11" spans="3:4">
      <c r="C11" t="s">
        <v>250</v>
      </c>
      <c r="D11" t="s">
        <v>250</v>
      </c>
    </row>
    <row r="12" spans="3:4">
      <c r="C12" t="s">
        <v>250</v>
      </c>
      <c r="D12" t="s">
        <v>250</v>
      </c>
    </row>
    <row r="13" spans="3:4">
      <c r="C13" t="s">
        <v>250</v>
      </c>
      <c r="D13" t="s">
        <v>250</v>
      </c>
    </row>
    <row r="14" spans="3:4">
      <c r="C14" t="s">
        <v>250</v>
      </c>
      <c r="D14" t="s">
        <v>250</v>
      </c>
    </row>
    <row r="15" spans="3:4">
      <c r="C15" t="s">
        <v>250</v>
      </c>
      <c r="D15" t="s">
        <v>250</v>
      </c>
    </row>
    <row r="16" spans="3:4">
      <c r="C16" t="s">
        <v>250</v>
      </c>
      <c r="D16" t="s">
        <v>250</v>
      </c>
    </row>
    <row r="17" spans="3:4">
      <c r="C17" t="s">
        <v>250</v>
      </c>
      <c r="D17" t="s">
        <v>250</v>
      </c>
    </row>
    <row r="18" spans="3:4">
      <c r="C18" t="s">
        <v>250</v>
      </c>
      <c r="D18" t="s">
        <v>250</v>
      </c>
    </row>
    <row r="19" spans="3:4">
      <c r="C19" t="s">
        <v>250</v>
      </c>
      <c r="D19" t="s">
        <v>250</v>
      </c>
    </row>
    <row r="20" spans="3:4">
      <c r="C20" t="s">
        <v>250</v>
      </c>
      <c r="D20" t="s">
        <v>250</v>
      </c>
    </row>
    <row r="21" spans="3:4">
      <c r="C21" t="s">
        <v>250</v>
      </c>
      <c r="D21" t="s">
        <v>250</v>
      </c>
    </row>
    <row r="22" spans="3:4">
      <c r="C22" t="s">
        <v>250</v>
      </c>
      <c r="D22" t="s">
        <v>250</v>
      </c>
    </row>
    <row r="23" spans="3:4">
      <c r="C23" t="s">
        <v>250</v>
      </c>
      <c r="D23" t="s">
        <v>250</v>
      </c>
    </row>
    <row r="24" spans="3:4">
      <c r="C24" t="s">
        <v>250</v>
      </c>
      <c r="D24" t="s">
        <v>250</v>
      </c>
    </row>
    <row r="25" spans="3:4">
      <c r="C25" t="s">
        <v>250</v>
      </c>
      <c r="D25" t="s">
        <v>250</v>
      </c>
    </row>
    <row r="26" spans="3:4">
      <c r="C26" t="s">
        <v>250</v>
      </c>
      <c r="D26" t="s">
        <v>250</v>
      </c>
    </row>
    <row r="27" spans="3:4">
      <c r="C27" t="s">
        <v>250</v>
      </c>
      <c r="D27" t="s">
        <v>250</v>
      </c>
    </row>
    <row r="28" spans="3:4">
      <c r="C28" t="s">
        <v>250</v>
      </c>
      <c r="D28" t="s">
        <v>250</v>
      </c>
    </row>
    <row r="29" spans="3:4">
      <c r="C29" t="s">
        <v>250</v>
      </c>
      <c r="D29" t="s">
        <v>250</v>
      </c>
    </row>
    <row r="30" spans="3:4">
      <c r="C30" t="s">
        <v>250</v>
      </c>
      <c r="D30" t="s">
        <v>250</v>
      </c>
    </row>
    <row r="31" spans="3:4">
      <c r="C31" t="s">
        <v>250</v>
      </c>
      <c r="D31" t="s">
        <v>250</v>
      </c>
    </row>
    <row r="32" spans="3:4">
      <c r="C32" t="s">
        <v>250</v>
      </c>
      <c r="D32" t="s">
        <v>250</v>
      </c>
    </row>
    <row r="33" spans="3:4">
      <c r="C33" t="s">
        <v>250</v>
      </c>
      <c r="D33" t="s">
        <v>250</v>
      </c>
    </row>
    <row r="34" spans="3:4">
      <c r="C34" t="s">
        <v>250</v>
      </c>
      <c r="D34" t="s">
        <v>250</v>
      </c>
    </row>
    <row r="35" spans="3:4">
      <c r="C35" t="s">
        <v>250</v>
      </c>
      <c r="D35" t="s">
        <v>250</v>
      </c>
    </row>
    <row r="36" spans="3:4">
      <c r="C36" t="s">
        <v>250</v>
      </c>
      <c r="D36" t="s">
        <v>250</v>
      </c>
    </row>
    <row r="37" spans="3:4">
      <c r="C37" t="s">
        <v>250</v>
      </c>
      <c r="D37" t="s">
        <v>250</v>
      </c>
    </row>
    <row r="38" spans="3:4">
      <c r="C38" t="s">
        <v>250</v>
      </c>
      <c r="D38" t="s">
        <v>250</v>
      </c>
    </row>
    <row r="39" spans="3:4">
      <c r="C39" t="s">
        <v>250</v>
      </c>
      <c r="D39" t="s">
        <v>250</v>
      </c>
    </row>
    <row r="40" spans="3:4">
      <c r="C40" t="s">
        <v>250</v>
      </c>
      <c r="D40" t="s">
        <v>250</v>
      </c>
    </row>
    <row r="41" spans="3:4">
      <c r="C41" t="s">
        <v>250</v>
      </c>
      <c r="D41" t="s">
        <v>250</v>
      </c>
    </row>
    <row r="42" spans="3:4">
      <c r="C42" t="s">
        <v>250</v>
      </c>
      <c r="D42" t="s">
        <v>250</v>
      </c>
    </row>
    <row r="43" spans="3:4">
      <c r="C43" t="s">
        <v>250</v>
      </c>
      <c r="D43" t="s">
        <v>250</v>
      </c>
    </row>
    <row r="44" spans="3:4">
      <c r="C44" t="s">
        <v>250</v>
      </c>
      <c r="D44" t="s">
        <v>250</v>
      </c>
    </row>
    <row r="45" spans="3:4">
      <c r="C45" t="s">
        <v>250</v>
      </c>
      <c r="D45" t="s">
        <v>250</v>
      </c>
    </row>
    <row r="46" spans="3:4">
      <c r="C46" t="s">
        <v>250</v>
      </c>
      <c r="D46" t="s">
        <v>250</v>
      </c>
    </row>
    <row r="47" spans="3:4">
      <c r="C47" t="s">
        <v>250</v>
      </c>
      <c r="D47" t="s">
        <v>250</v>
      </c>
    </row>
    <row r="48" spans="3:4">
      <c r="C48" t="s">
        <v>250</v>
      </c>
      <c r="D48" t="s">
        <v>250</v>
      </c>
    </row>
    <row r="49" spans="3:4">
      <c r="C49" t="s">
        <v>250</v>
      </c>
      <c r="D49" t="s">
        <v>250</v>
      </c>
    </row>
    <row r="50" spans="3:4">
      <c r="C50" t="s">
        <v>250</v>
      </c>
      <c r="D50" t="s">
        <v>250</v>
      </c>
    </row>
    <row r="51" spans="3:4">
      <c r="C51" t="s">
        <v>250</v>
      </c>
      <c r="D51" t="s">
        <v>250</v>
      </c>
    </row>
    <row r="52" spans="3:4">
      <c r="C52" t="s">
        <v>250</v>
      </c>
      <c r="D52" t="s">
        <v>250</v>
      </c>
    </row>
    <row r="53" spans="3:4">
      <c r="C53" t="s">
        <v>250</v>
      </c>
      <c r="D53" t="s">
        <v>250</v>
      </c>
    </row>
    <row r="54" spans="3:4">
      <c r="C54" t="s">
        <v>250</v>
      </c>
      <c r="D54" t="s">
        <v>250</v>
      </c>
    </row>
    <row r="55" spans="3:4">
      <c r="C55" t="s">
        <v>250</v>
      </c>
      <c r="D55" t="s">
        <v>250</v>
      </c>
    </row>
    <row r="56" spans="3:4">
      <c r="C56" t="s">
        <v>250</v>
      </c>
      <c r="D56" t="s">
        <v>250</v>
      </c>
    </row>
    <row r="57" spans="3:4">
      <c r="C57" t="s">
        <v>250</v>
      </c>
      <c r="D57" t="s">
        <v>250</v>
      </c>
    </row>
    <row r="58" spans="3:4">
      <c r="C58" t="s">
        <v>250</v>
      </c>
      <c r="D58" t="s">
        <v>250</v>
      </c>
    </row>
    <row r="59" spans="3:4">
      <c r="C59" t="s">
        <v>250</v>
      </c>
      <c r="D59" t="s">
        <v>250</v>
      </c>
    </row>
    <row r="60" spans="3:4">
      <c r="C60" t="s">
        <v>250</v>
      </c>
      <c r="D60" t="s">
        <v>250</v>
      </c>
    </row>
    <row r="61" spans="3:4">
      <c r="C61" t="s">
        <v>250</v>
      </c>
      <c r="D61" t="s">
        <v>250</v>
      </c>
    </row>
    <row r="62" spans="3:4">
      <c r="C62" t="s">
        <v>250</v>
      </c>
      <c r="D62" t="s">
        <v>250</v>
      </c>
    </row>
    <row r="63" spans="3:4">
      <c r="C63" t="s">
        <v>250</v>
      </c>
      <c r="D63" t="s">
        <v>250</v>
      </c>
    </row>
    <row r="64" spans="3:4">
      <c r="C64" t="s">
        <v>250</v>
      </c>
      <c r="D64" t="s">
        <v>250</v>
      </c>
    </row>
    <row r="65" spans="3:4">
      <c r="C65" t="s">
        <v>250</v>
      </c>
      <c r="D65" t="s">
        <v>250</v>
      </c>
    </row>
  </sheetData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248</v>
      </c>
      <c r="D7" t="s">
        <v>248</v>
      </c>
    </row>
    <row r="8" spans="3:4">
      <c r="C8" t="s">
        <v>248</v>
      </c>
      <c r="D8" t="s">
        <v>248</v>
      </c>
    </row>
    <row r="9" spans="3:4">
      <c r="C9" t="s">
        <v>248</v>
      </c>
      <c r="D9" t="s">
        <v>248</v>
      </c>
    </row>
    <row r="10" spans="3:4">
      <c r="C10" t="s">
        <v>248</v>
      </c>
      <c r="D10" t="s">
        <v>248</v>
      </c>
    </row>
    <row r="11" spans="3:4">
      <c r="C11" t="s">
        <v>248</v>
      </c>
      <c r="D11" t="s">
        <v>248</v>
      </c>
    </row>
    <row r="12" spans="3:4">
      <c r="C12" t="s">
        <v>248</v>
      </c>
      <c r="D12" t="s">
        <v>248</v>
      </c>
    </row>
    <row r="13" spans="3:4">
      <c r="C13" t="s">
        <v>248</v>
      </c>
      <c r="D13" t="s">
        <v>248</v>
      </c>
    </row>
    <row r="14" spans="3:4">
      <c r="C14" t="s">
        <v>248</v>
      </c>
      <c r="D14" t="s">
        <v>248</v>
      </c>
    </row>
    <row r="15" spans="3:4">
      <c r="C15" t="s">
        <v>248</v>
      </c>
      <c r="D15" t="s">
        <v>248</v>
      </c>
    </row>
    <row r="16" spans="3:4">
      <c r="C16" t="s">
        <v>248</v>
      </c>
      <c r="D16" t="s">
        <v>248</v>
      </c>
    </row>
    <row r="17" spans="3:4">
      <c r="C17" t="s">
        <v>248</v>
      </c>
      <c r="D17" t="s">
        <v>248</v>
      </c>
    </row>
    <row r="18" spans="3:4">
      <c r="C18" t="s">
        <v>248</v>
      </c>
      <c r="D18" t="s">
        <v>248</v>
      </c>
    </row>
    <row r="19" spans="3:4">
      <c r="C19" t="s">
        <v>248</v>
      </c>
      <c r="D19" t="s">
        <v>248</v>
      </c>
    </row>
    <row r="20" spans="3:4">
      <c r="C20" t="s">
        <v>248</v>
      </c>
      <c r="D20" t="s">
        <v>248</v>
      </c>
    </row>
    <row r="21" spans="3:4">
      <c r="C21" t="s">
        <v>248</v>
      </c>
      <c r="D21" t="s">
        <v>248</v>
      </c>
    </row>
    <row r="22" spans="3:4">
      <c r="C22" t="s">
        <v>248</v>
      </c>
      <c r="D22" t="s">
        <v>248</v>
      </c>
    </row>
    <row r="23" spans="3:4">
      <c r="C23" t="s">
        <v>248</v>
      </c>
      <c r="D23" t="s">
        <v>248</v>
      </c>
    </row>
    <row r="24" spans="3:4">
      <c r="C24" t="s">
        <v>248</v>
      </c>
      <c r="D24" t="s">
        <v>248</v>
      </c>
    </row>
    <row r="25" spans="3:4">
      <c r="C25" t="s">
        <v>248</v>
      </c>
      <c r="D25" t="s">
        <v>248</v>
      </c>
    </row>
    <row r="26" spans="3:4">
      <c r="C26" t="s">
        <v>248</v>
      </c>
      <c r="D26" t="s">
        <v>248</v>
      </c>
    </row>
    <row r="27" spans="3:4">
      <c r="C27" t="s">
        <v>248</v>
      </c>
      <c r="D27" t="s">
        <v>248</v>
      </c>
    </row>
    <row r="28" spans="3:4">
      <c r="C28" t="s">
        <v>248</v>
      </c>
      <c r="D28" t="s">
        <v>248</v>
      </c>
    </row>
    <row r="29" spans="3:4">
      <c r="C29" t="s">
        <v>248</v>
      </c>
      <c r="D29" t="s">
        <v>248</v>
      </c>
    </row>
    <row r="30" spans="3:4">
      <c r="C30" t="s">
        <v>248</v>
      </c>
      <c r="D30" t="s">
        <v>248</v>
      </c>
    </row>
    <row r="31" spans="3:4">
      <c r="C31" t="s">
        <v>248</v>
      </c>
      <c r="D31" t="s">
        <v>248</v>
      </c>
    </row>
    <row r="32" spans="3:4">
      <c r="C32" t="s">
        <v>248</v>
      </c>
      <c r="D32" t="s">
        <v>248</v>
      </c>
    </row>
    <row r="33" spans="3:4">
      <c r="C33" t="s">
        <v>248</v>
      </c>
      <c r="D33" t="s">
        <v>248</v>
      </c>
    </row>
    <row r="34" spans="3:4">
      <c r="C34" t="s">
        <v>248</v>
      </c>
      <c r="D34" t="s">
        <v>248</v>
      </c>
    </row>
    <row r="35" spans="3:4">
      <c r="C35" t="s">
        <v>248</v>
      </c>
      <c r="D35" t="s">
        <v>248</v>
      </c>
    </row>
    <row r="36" spans="3:4">
      <c r="C36" t="s">
        <v>248</v>
      </c>
      <c r="D36" t="s">
        <v>248</v>
      </c>
    </row>
    <row r="37" spans="3:4">
      <c r="C37" t="s">
        <v>248</v>
      </c>
      <c r="D37" t="s">
        <v>248</v>
      </c>
    </row>
    <row r="38" spans="3:4">
      <c r="C38" t="s">
        <v>248</v>
      </c>
      <c r="D38" t="s">
        <v>248</v>
      </c>
    </row>
    <row r="39" spans="3:4">
      <c r="C39" t="s">
        <v>248</v>
      </c>
      <c r="D39" t="s">
        <v>248</v>
      </c>
    </row>
    <row r="40" spans="3:4">
      <c r="C40" t="s">
        <v>248</v>
      </c>
      <c r="D40" t="s">
        <v>248</v>
      </c>
    </row>
    <row r="41" spans="3:4">
      <c r="C41" t="s">
        <v>248</v>
      </c>
      <c r="D41" t="s">
        <v>248</v>
      </c>
    </row>
    <row r="42" spans="3:4">
      <c r="C42" t="s">
        <v>248</v>
      </c>
      <c r="D42" t="s">
        <v>248</v>
      </c>
    </row>
    <row r="43" spans="3:4">
      <c r="C43" t="s">
        <v>248</v>
      </c>
      <c r="D43" t="s">
        <v>248</v>
      </c>
    </row>
    <row r="44" spans="3:4">
      <c r="C44" t="s">
        <v>248</v>
      </c>
      <c r="D44" t="s">
        <v>248</v>
      </c>
    </row>
    <row r="45" spans="3:4">
      <c r="C45" t="s">
        <v>248</v>
      </c>
      <c r="D45" t="s">
        <v>248</v>
      </c>
    </row>
    <row r="46" spans="3:4">
      <c r="C46" t="s">
        <v>248</v>
      </c>
      <c r="D46" t="s">
        <v>248</v>
      </c>
    </row>
    <row r="47" spans="3:4">
      <c r="C47" t="s">
        <v>248</v>
      </c>
      <c r="D47" t="s">
        <v>248</v>
      </c>
    </row>
    <row r="48" spans="3:4">
      <c r="C48" t="s">
        <v>248</v>
      </c>
      <c r="D48" t="s">
        <v>248</v>
      </c>
    </row>
    <row r="49" spans="3:4">
      <c r="C49" t="s">
        <v>248</v>
      </c>
      <c r="D49" t="s">
        <v>248</v>
      </c>
    </row>
    <row r="50" spans="3:4">
      <c r="C50" t="s">
        <v>248</v>
      </c>
      <c r="D50" t="s">
        <v>248</v>
      </c>
    </row>
    <row r="51" spans="3:4">
      <c r="C51" t="s">
        <v>248</v>
      </c>
      <c r="D51" t="s">
        <v>248</v>
      </c>
    </row>
    <row r="52" spans="3:4">
      <c r="C52" t="s">
        <v>248</v>
      </c>
      <c r="D52" t="s">
        <v>248</v>
      </c>
    </row>
    <row r="53" spans="3:4">
      <c r="C53" t="s">
        <v>248</v>
      </c>
      <c r="D53" t="s">
        <v>248</v>
      </c>
    </row>
    <row r="54" spans="3:4">
      <c r="C54" t="s">
        <v>248</v>
      </c>
      <c r="D54" t="s">
        <v>248</v>
      </c>
    </row>
    <row r="55" spans="3:4">
      <c r="C55" t="s">
        <v>248</v>
      </c>
      <c r="D55" t="s">
        <v>248</v>
      </c>
    </row>
    <row r="56" spans="3:4">
      <c r="C56" t="s">
        <v>248</v>
      </c>
      <c r="D56" t="s">
        <v>248</v>
      </c>
    </row>
    <row r="57" spans="3:4">
      <c r="C57" t="s">
        <v>248</v>
      </c>
      <c r="D57" t="s">
        <v>248</v>
      </c>
    </row>
    <row r="58" spans="3:4">
      <c r="C58" t="s">
        <v>248</v>
      </c>
      <c r="D58" t="s">
        <v>248</v>
      </c>
    </row>
    <row r="59" spans="3:4">
      <c r="C59" t="s">
        <v>248</v>
      </c>
      <c r="D59" t="s">
        <v>248</v>
      </c>
    </row>
    <row r="60" spans="3:4">
      <c r="C60" t="s">
        <v>248</v>
      </c>
      <c r="D60" t="s">
        <v>248</v>
      </c>
    </row>
    <row r="61" spans="3:4">
      <c r="C61" t="s">
        <v>248</v>
      </c>
      <c r="D61" t="s">
        <v>248</v>
      </c>
    </row>
    <row r="62" spans="3:4">
      <c r="C62" t="s">
        <v>248</v>
      </c>
      <c r="D62" t="s">
        <v>248</v>
      </c>
    </row>
    <row r="63" spans="3:4">
      <c r="C63" t="s">
        <v>248</v>
      </c>
      <c r="D63" t="s">
        <v>248</v>
      </c>
    </row>
    <row r="64" spans="3:4">
      <c r="C64" t="s">
        <v>248</v>
      </c>
      <c r="D64" t="s">
        <v>248</v>
      </c>
    </row>
    <row r="65" spans="3:4">
      <c r="C65" t="s">
        <v>248</v>
      </c>
      <c r="D65" t="s">
        <v>248</v>
      </c>
    </row>
  </sheetData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246</v>
      </c>
      <c r="D7" t="s">
        <v>246</v>
      </c>
    </row>
    <row r="8" spans="3:4">
      <c r="C8" t="s">
        <v>246</v>
      </c>
      <c r="D8" t="s">
        <v>246</v>
      </c>
    </row>
    <row r="9" spans="3:4">
      <c r="C9" t="s">
        <v>246</v>
      </c>
      <c r="D9" t="s">
        <v>246</v>
      </c>
    </row>
    <row r="10" spans="3:4">
      <c r="C10" t="s">
        <v>246</v>
      </c>
      <c r="D10" t="s">
        <v>246</v>
      </c>
    </row>
    <row r="11" spans="3:4">
      <c r="C11" t="s">
        <v>246</v>
      </c>
      <c r="D11" t="s">
        <v>246</v>
      </c>
    </row>
    <row r="12" spans="3:4">
      <c r="C12" t="s">
        <v>246</v>
      </c>
      <c r="D12" t="s">
        <v>246</v>
      </c>
    </row>
    <row r="13" spans="3:4">
      <c r="C13" t="s">
        <v>246</v>
      </c>
      <c r="D13" t="s">
        <v>246</v>
      </c>
    </row>
    <row r="14" spans="3:4">
      <c r="C14" t="s">
        <v>246</v>
      </c>
      <c r="D14" t="s">
        <v>246</v>
      </c>
    </row>
    <row r="15" spans="3:4">
      <c r="C15" t="s">
        <v>246</v>
      </c>
      <c r="D15" t="s">
        <v>246</v>
      </c>
    </row>
    <row r="16" spans="3:4">
      <c r="C16" t="s">
        <v>246</v>
      </c>
      <c r="D16" t="s">
        <v>246</v>
      </c>
    </row>
    <row r="17" spans="3:4">
      <c r="C17" t="s">
        <v>246</v>
      </c>
      <c r="D17" t="s">
        <v>246</v>
      </c>
    </row>
    <row r="18" spans="3:4">
      <c r="C18" t="s">
        <v>246</v>
      </c>
      <c r="D18" t="s">
        <v>246</v>
      </c>
    </row>
    <row r="19" spans="3:4">
      <c r="C19" t="s">
        <v>246</v>
      </c>
      <c r="D19" t="s">
        <v>246</v>
      </c>
    </row>
    <row r="20" spans="3:4">
      <c r="C20" t="s">
        <v>246</v>
      </c>
      <c r="D20" t="s">
        <v>246</v>
      </c>
    </row>
    <row r="21" spans="3:4">
      <c r="C21" t="s">
        <v>246</v>
      </c>
      <c r="D21" t="s">
        <v>246</v>
      </c>
    </row>
    <row r="22" spans="3:4">
      <c r="C22" t="s">
        <v>246</v>
      </c>
      <c r="D22" t="s">
        <v>246</v>
      </c>
    </row>
    <row r="23" spans="3:4">
      <c r="C23" t="s">
        <v>246</v>
      </c>
      <c r="D23" t="s">
        <v>246</v>
      </c>
    </row>
    <row r="24" spans="3:4">
      <c r="C24" t="s">
        <v>246</v>
      </c>
      <c r="D24" t="s">
        <v>246</v>
      </c>
    </row>
    <row r="25" spans="3:4">
      <c r="C25" t="s">
        <v>246</v>
      </c>
      <c r="D25" t="s">
        <v>246</v>
      </c>
    </row>
    <row r="26" spans="3:4">
      <c r="C26" t="s">
        <v>246</v>
      </c>
      <c r="D26" t="s">
        <v>246</v>
      </c>
    </row>
    <row r="27" spans="3:4">
      <c r="C27" t="s">
        <v>246</v>
      </c>
      <c r="D27" t="s">
        <v>246</v>
      </c>
    </row>
    <row r="28" spans="3:4">
      <c r="C28" t="s">
        <v>246</v>
      </c>
      <c r="D28" t="s">
        <v>246</v>
      </c>
    </row>
    <row r="29" spans="3:4">
      <c r="C29" t="s">
        <v>246</v>
      </c>
      <c r="D29" t="s">
        <v>246</v>
      </c>
    </row>
    <row r="30" spans="3:4">
      <c r="C30" t="s">
        <v>246</v>
      </c>
      <c r="D30" t="s">
        <v>246</v>
      </c>
    </row>
    <row r="31" spans="3:4">
      <c r="C31" t="s">
        <v>246</v>
      </c>
      <c r="D31" t="s">
        <v>246</v>
      </c>
    </row>
    <row r="32" spans="3:4">
      <c r="C32" t="s">
        <v>246</v>
      </c>
      <c r="D32" t="s">
        <v>246</v>
      </c>
    </row>
    <row r="33" spans="3:4">
      <c r="C33" t="s">
        <v>246</v>
      </c>
      <c r="D33" t="s">
        <v>246</v>
      </c>
    </row>
    <row r="34" spans="3:4">
      <c r="C34" t="s">
        <v>246</v>
      </c>
      <c r="D34" t="s">
        <v>246</v>
      </c>
    </row>
    <row r="35" spans="3:4">
      <c r="C35" t="s">
        <v>246</v>
      </c>
      <c r="D35" t="s">
        <v>246</v>
      </c>
    </row>
    <row r="36" spans="3:4">
      <c r="C36" t="s">
        <v>246</v>
      </c>
      <c r="D36" t="s">
        <v>246</v>
      </c>
    </row>
    <row r="37" spans="3:4">
      <c r="C37" t="s">
        <v>246</v>
      </c>
      <c r="D37" t="s">
        <v>246</v>
      </c>
    </row>
    <row r="38" spans="3:4">
      <c r="C38" t="s">
        <v>246</v>
      </c>
      <c r="D38" t="s">
        <v>246</v>
      </c>
    </row>
    <row r="39" spans="3:4">
      <c r="C39" t="s">
        <v>246</v>
      </c>
      <c r="D39" t="s">
        <v>246</v>
      </c>
    </row>
    <row r="40" spans="3:4">
      <c r="C40" t="s">
        <v>246</v>
      </c>
      <c r="D40" t="s">
        <v>246</v>
      </c>
    </row>
    <row r="41" spans="3:4">
      <c r="C41" t="s">
        <v>246</v>
      </c>
      <c r="D41" t="s">
        <v>246</v>
      </c>
    </row>
    <row r="42" spans="3:4">
      <c r="C42" t="s">
        <v>246</v>
      </c>
      <c r="D42" t="s">
        <v>246</v>
      </c>
    </row>
    <row r="43" spans="3:4">
      <c r="C43" t="s">
        <v>246</v>
      </c>
      <c r="D43" t="s">
        <v>246</v>
      </c>
    </row>
    <row r="44" spans="3:4">
      <c r="C44" t="s">
        <v>246</v>
      </c>
      <c r="D44" t="s">
        <v>246</v>
      </c>
    </row>
    <row r="45" spans="3:4">
      <c r="C45" t="s">
        <v>246</v>
      </c>
      <c r="D45" t="s">
        <v>246</v>
      </c>
    </row>
    <row r="46" spans="3:4">
      <c r="C46" t="s">
        <v>246</v>
      </c>
      <c r="D46" t="s">
        <v>246</v>
      </c>
    </row>
    <row r="47" spans="3:4">
      <c r="C47" t="s">
        <v>246</v>
      </c>
      <c r="D47" t="s">
        <v>246</v>
      </c>
    </row>
    <row r="48" spans="3:4">
      <c r="C48" t="s">
        <v>246</v>
      </c>
      <c r="D48" t="s">
        <v>246</v>
      </c>
    </row>
    <row r="49" spans="3:4">
      <c r="C49" t="s">
        <v>246</v>
      </c>
      <c r="D49" t="s">
        <v>246</v>
      </c>
    </row>
    <row r="50" spans="3:4">
      <c r="C50" t="s">
        <v>246</v>
      </c>
      <c r="D50" t="s">
        <v>246</v>
      </c>
    </row>
    <row r="51" spans="3:4">
      <c r="C51" t="s">
        <v>246</v>
      </c>
      <c r="D51" t="s">
        <v>246</v>
      </c>
    </row>
    <row r="52" spans="3:4">
      <c r="C52" t="s">
        <v>246</v>
      </c>
      <c r="D52" t="s">
        <v>246</v>
      </c>
    </row>
    <row r="53" spans="3:4">
      <c r="C53" t="s">
        <v>246</v>
      </c>
      <c r="D53" t="s">
        <v>246</v>
      </c>
    </row>
    <row r="54" spans="3:4">
      <c r="C54" t="s">
        <v>246</v>
      </c>
      <c r="D54" t="s">
        <v>246</v>
      </c>
    </row>
    <row r="55" spans="3:4">
      <c r="C55" t="s">
        <v>246</v>
      </c>
      <c r="D55" t="s">
        <v>246</v>
      </c>
    </row>
    <row r="56" spans="3:4">
      <c r="C56" t="s">
        <v>246</v>
      </c>
      <c r="D56" t="s">
        <v>246</v>
      </c>
    </row>
    <row r="57" spans="3:4">
      <c r="C57" t="s">
        <v>246</v>
      </c>
      <c r="D57" t="s">
        <v>246</v>
      </c>
    </row>
    <row r="58" spans="3:4">
      <c r="C58" t="s">
        <v>246</v>
      </c>
      <c r="D58" t="s">
        <v>246</v>
      </c>
    </row>
    <row r="59" spans="3:4">
      <c r="C59" t="s">
        <v>246</v>
      </c>
      <c r="D59" t="s">
        <v>246</v>
      </c>
    </row>
    <row r="60" spans="3:4">
      <c r="C60" t="s">
        <v>246</v>
      </c>
      <c r="D60" t="s">
        <v>246</v>
      </c>
    </row>
    <row r="61" spans="3:4">
      <c r="C61" t="s">
        <v>246</v>
      </c>
      <c r="D61" t="s">
        <v>246</v>
      </c>
    </row>
    <row r="62" spans="3:4">
      <c r="C62" t="s">
        <v>246</v>
      </c>
      <c r="D62" t="s">
        <v>246</v>
      </c>
    </row>
    <row r="63" spans="3:4">
      <c r="C63" t="s">
        <v>246</v>
      </c>
      <c r="D63" t="s">
        <v>246</v>
      </c>
    </row>
    <row r="64" spans="3:4">
      <c r="C64" t="s">
        <v>246</v>
      </c>
      <c r="D64" t="s">
        <v>246</v>
      </c>
    </row>
    <row r="65" spans="3:4">
      <c r="C65" t="s">
        <v>246</v>
      </c>
      <c r="D65" t="s">
        <v>246</v>
      </c>
    </row>
  </sheetData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244</v>
      </c>
      <c r="D7" t="s">
        <v>244</v>
      </c>
    </row>
    <row r="8" spans="3:4">
      <c r="C8" t="s">
        <v>244</v>
      </c>
      <c r="D8" t="s">
        <v>244</v>
      </c>
    </row>
    <row r="9" spans="3:4">
      <c r="C9" t="s">
        <v>244</v>
      </c>
      <c r="D9" t="s">
        <v>244</v>
      </c>
    </row>
    <row r="10" spans="3:4">
      <c r="C10" t="s">
        <v>244</v>
      </c>
      <c r="D10" t="s">
        <v>244</v>
      </c>
    </row>
    <row r="11" spans="3:4">
      <c r="C11" t="s">
        <v>244</v>
      </c>
      <c r="D11" t="s">
        <v>244</v>
      </c>
    </row>
    <row r="12" spans="3:4">
      <c r="C12" t="s">
        <v>244</v>
      </c>
      <c r="D12" t="s">
        <v>244</v>
      </c>
    </row>
    <row r="13" spans="3:4">
      <c r="C13" t="s">
        <v>244</v>
      </c>
      <c r="D13" t="s">
        <v>244</v>
      </c>
    </row>
    <row r="14" spans="3:4">
      <c r="C14" t="s">
        <v>244</v>
      </c>
      <c r="D14" t="s">
        <v>244</v>
      </c>
    </row>
    <row r="15" spans="3:4">
      <c r="C15" t="s">
        <v>244</v>
      </c>
      <c r="D15" t="s">
        <v>244</v>
      </c>
    </row>
    <row r="16" spans="3:4">
      <c r="C16" t="s">
        <v>244</v>
      </c>
      <c r="D16" t="s">
        <v>244</v>
      </c>
    </row>
    <row r="17" spans="3:4">
      <c r="C17" t="s">
        <v>244</v>
      </c>
      <c r="D17" t="s">
        <v>244</v>
      </c>
    </row>
    <row r="18" spans="3:4">
      <c r="C18" t="s">
        <v>244</v>
      </c>
      <c r="D18" t="s">
        <v>244</v>
      </c>
    </row>
    <row r="19" spans="3:4">
      <c r="C19" t="s">
        <v>244</v>
      </c>
      <c r="D19" t="s">
        <v>244</v>
      </c>
    </row>
    <row r="20" spans="3:4">
      <c r="C20" t="s">
        <v>244</v>
      </c>
      <c r="D20" t="s">
        <v>244</v>
      </c>
    </row>
    <row r="21" spans="3:4">
      <c r="C21" t="s">
        <v>244</v>
      </c>
      <c r="D21" t="s">
        <v>244</v>
      </c>
    </row>
    <row r="22" spans="3:4">
      <c r="C22" t="s">
        <v>244</v>
      </c>
      <c r="D22" t="s">
        <v>244</v>
      </c>
    </row>
    <row r="23" spans="3:4">
      <c r="C23" t="s">
        <v>244</v>
      </c>
      <c r="D23" t="s">
        <v>244</v>
      </c>
    </row>
    <row r="24" spans="3:4">
      <c r="C24" t="s">
        <v>244</v>
      </c>
      <c r="D24" t="s">
        <v>244</v>
      </c>
    </row>
    <row r="25" spans="3:4">
      <c r="C25" t="s">
        <v>244</v>
      </c>
      <c r="D25" t="s">
        <v>244</v>
      </c>
    </row>
    <row r="26" spans="3:4">
      <c r="C26" t="s">
        <v>244</v>
      </c>
      <c r="D26" t="s">
        <v>244</v>
      </c>
    </row>
    <row r="27" spans="3:4">
      <c r="C27" t="s">
        <v>244</v>
      </c>
      <c r="D27" t="s">
        <v>244</v>
      </c>
    </row>
    <row r="28" spans="3:4">
      <c r="C28" t="s">
        <v>244</v>
      </c>
      <c r="D28" t="s">
        <v>244</v>
      </c>
    </row>
    <row r="29" spans="3:4">
      <c r="C29" t="s">
        <v>244</v>
      </c>
      <c r="D29" t="s">
        <v>244</v>
      </c>
    </row>
    <row r="30" spans="3:4">
      <c r="C30" t="s">
        <v>244</v>
      </c>
      <c r="D30" t="s">
        <v>244</v>
      </c>
    </row>
    <row r="31" spans="3:4">
      <c r="C31" t="s">
        <v>244</v>
      </c>
      <c r="D31" t="s">
        <v>244</v>
      </c>
    </row>
    <row r="32" spans="3:4">
      <c r="C32" t="s">
        <v>244</v>
      </c>
      <c r="D32" t="s">
        <v>244</v>
      </c>
    </row>
    <row r="33" spans="3:4">
      <c r="C33" t="s">
        <v>244</v>
      </c>
      <c r="D33" t="s">
        <v>244</v>
      </c>
    </row>
    <row r="34" spans="3:4">
      <c r="C34" t="s">
        <v>244</v>
      </c>
      <c r="D34" t="s">
        <v>244</v>
      </c>
    </row>
    <row r="35" spans="3:4">
      <c r="C35" t="s">
        <v>244</v>
      </c>
      <c r="D35" t="s">
        <v>244</v>
      </c>
    </row>
    <row r="36" spans="3:4">
      <c r="C36" t="s">
        <v>244</v>
      </c>
      <c r="D36" t="s">
        <v>244</v>
      </c>
    </row>
    <row r="37" spans="3:4">
      <c r="C37" t="s">
        <v>244</v>
      </c>
      <c r="D37" t="s">
        <v>244</v>
      </c>
    </row>
    <row r="38" spans="3:4">
      <c r="C38" t="s">
        <v>244</v>
      </c>
      <c r="D38" t="s">
        <v>244</v>
      </c>
    </row>
    <row r="39" spans="3:4">
      <c r="C39" t="s">
        <v>244</v>
      </c>
      <c r="D39" t="s">
        <v>244</v>
      </c>
    </row>
    <row r="40" spans="3:4">
      <c r="C40" t="s">
        <v>244</v>
      </c>
      <c r="D40" t="s">
        <v>244</v>
      </c>
    </row>
    <row r="41" spans="3:4">
      <c r="C41" t="s">
        <v>244</v>
      </c>
      <c r="D41" t="s">
        <v>244</v>
      </c>
    </row>
    <row r="42" spans="3:4">
      <c r="C42" t="s">
        <v>244</v>
      </c>
      <c r="D42" t="s">
        <v>244</v>
      </c>
    </row>
    <row r="43" spans="3:4">
      <c r="C43" t="s">
        <v>244</v>
      </c>
      <c r="D43" t="s">
        <v>244</v>
      </c>
    </row>
    <row r="44" spans="3:4">
      <c r="C44" t="s">
        <v>244</v>
      </c>
      <c r="D44" t="s">
        <v>244</v>
      </c>
    </row>
    <row r="45" spans="3:4">
      <c r="C45" t="s">
        <v>244</v>
      </c>
      <c r="D45" t="s">
        <v>244</v>
      </c>
    </row>
    <row r="46" spans="3:4">
      <c r="C46" t="s">
        <v>244</v>
      </c>
      <c r="D46" t="s">
        <v>244</v>
      </c>
    </row>
    <row r="47" spans="3:4">
      <c r="C47" t="s">
        <v>244</v>
      </c>
      <c r="D47" t="s">
        <v>244</v>
      </c>
    </row>
    <row r="48" spans="3:4">
      <c r="C48" t="s">
        <v>244</v>
      </c>
      <c r="D48" t="s">
        <v>244</v>
      </c>
    </row>
    <row r="49" spans="3:4">
      <c r="C49" t="s">
        <v>244</v>
      </c>
      <c r="D49" t="s">
        <v>244</v>
      </c>
    </row>
    <row r="50" spans="3:4">
      <c r="C50" t="s">
        <v>244</v>
      </c>
      <c r="D50" t="s">
        <v>244</v>
      </c>
    </row>
    <row r="51" spans="3:4">
      <c r="C51" t="s">
        <v>244</v>
      </c>
      <c r="D51" t="s">
        <v>244</v>
      </c>
    </row>
    <row r="52" spans="3:4">
      <c r="C52" t="s">
        <v>244</v>
      </c>
      <c r="D52" t="s">
        <v>244</v>
      </c>
    </row>
    <row r="53" spans="3:4">
      <c r="C53" t="s">
        <v>244</v>
      </c>
      <c r="D53" t="s">
        <v>244</v>
      </c>
    </row>
    <row r="54" spans="3:4">
      <c r="C54" t="s">
        <v>244</v>
      </c>
      <c r="D54" t="s">
        <v>244</v>
      </c>
    </row>
    <row r="55" spans="3:4">
      <c r="C55" t="s">
        <v>244</v>
      </c>
      <c r="D55" t="s">
        <v>244</v>
      </c>
    </row>
    <row r="56" spans="3:4">
      <c r="C56" t="s">
        <v>244</v>
      </c>
      <c r="D56" t="s">
        <v>244</v>
      </c>
    </row>
    <row r="57" spans="3:4">
      <c r="C57" t="s">
        <v>244</v>
      </c>
      <c r="D57" t="s">
        <v>244</v>
      </c>
    </row>
    <row r="58" spans="3:4">
      <c r="C58" t="s">
        <v>244</v>
      </c>
      <c r="D58" t="s">
        <v>244</v>
      </c>
    </row>
    <row r="59" spans="3:4">
      <c r="C59" t="s">
        <v>244</v>
      </c>
      <c r="D59" t="s">
        <v>244</v>
      </c>
    </row>
    <row r="60" spans="3:4">
      <c r="C60" t="s">
        <v>244</v>
      </c>
      <c r="D60" t="s">
        <v>244</v>
      </c>
    </row>
    <row r="61" spans="3:4">
      <c r="C61" t="s">
        <v>244</v>
      </c>
      <c r="D61" t="s">
        <v>244</v>
      </c>
    </row>
    <row r="62" spans="3:4">
      <c r="C62" t="s">
        <v>244</v>
      </c>
      <c r="D62" t="s">
        <v>244</v>
      </c>
    </row>
    <row r="63" spans="3:4">
      <c r="C63" t="s">
        <v>244</v>
      </c>
      <c r="D63" t="s">
        <v>244</v>
      </c>
    </row>
    <row r="64" spans="3:4">
      <c r="C64" t="s">
        <v>244</v>
      </c>
      <c r="D64" t="s">
        <v>244</v>
      </c>
    </row>
    <row r="65" spans="3:4">
      <c r="C65" t="s">
        <v>244</v>
      </c>
      <c r="D65" t="s">
        <v>244</v>
      </c>
    </row>
  </sheetData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243</v>
      </c>
      <c r="D7" t="s">
        <v>243</v>
      </c>
    </row>
    <row r="8" spans="3:4">
      <c r="C8" t="s">
        <v>243</v>
      </c>
      <c r="D8" t="s">
        <v>243</v>
      </c>
    </row>
    <row r="9" spans="3:4">
      <c r="C9" t="s">
        <v>243</v>
      </c>
      <c r="D9" t="s">
        <v>243</v>
      </c>
    </row>
    <row r="10" spans="3:4">
      <c r="C10" t="s">
        <v>243</v>
      </c>
      <c r="D10" t="s">
        <v>243</v>
      </c>
    </row>
    <row r="11" spans="3:4">
      <c r="C11" t="s">
        <v>243</v>
      </c>
      <c r="D11" t="s">
        <v>243</v>
      </c>
    </row>
    <row r="12" spans="3:4">
      <c r="C12" t="s">
        <v>243</v>
      </c>
      <c r="D12" t="s">
        <v>243</v>
      </c>
    </row>
    <row r="13" spans="3:4">
      <c r="C13" t="s">
        <v>243</v>
      </c>
      <c r="D13" t="s">
        <v>243</v>
      </c>
    </row>
    <row r="14" spans="3:4">
      <c r="C14" t="s">
        <v>243</v>
      </c>
      <c r="D14" t="s">
        <v>243</v>
      </c>
    </row>
    <row r="15" spans="3:4">
      <c r="C15" t="s">
        <v>243</v>
      </c>
      <c r="D15" t="s">
        <v>243</v>
      </c>
    </row>
    <row r="16" spans="3:4">
      <c r="C16" t="s">
        <v>243</v>
      </c>
      <c r="D16" t="s">
        <v>243</v>
      </c>
    </row>
    <row r="17" spans="3:4">
      <c r="C17" t="s">
        <v>243</v>
      </c>
      <c r="D17" t="s">
        <v>243</v>
      </c>
    </row>
    <row r="18" spans="3:4">
      <c r="C18" t="s">
        <v>243</v>
      </c>
      <c r="D18" t="s">
        <v>243</v>
      </c>
    </row>
    <row r="19" spans="3:4">
      <c r="C19" t="s">
        <v>243</v>
      </c>
      <c r="D19" t="s">
        <v>243</v>
      </c>
    </row>
    <row r="20" spans="3:4">
      <c r="C20" t="s">
        <v>243</v>
      </c>
      <c r="D20" t="s">
        <v>243</v>
      </c>
    </row>
    <row r="21" spans="3:4">
      <c r="C21" t="s">
        <v>243</v>
      </c>
      <c r="D21" t="s">
        <v>243</v>
      </c>
    </row>
    <row r="22" spans="3:4">
      <c r="C22" t="s">
        <v>243</v>
      </c>
      <c r="D22" t="s">
        <v>243</v>
      </c>
    </row>
    <row r="23" spans="3:4">
      <c r="C23" t="s">
        <v>243</v>
      </c>
      <c r="D23" t="s">
        <v>243</v>
      </c>
    </row>
    <row r="24" spans="3:4">
      <c r="C24" t="s">
        <v>243</v>
      </c>
      <c r="D24" t="s">
        <v>243</v>
      </c>
    </row>
    <row r="25" spans="3:4">
      <c r="C25" t="s">
        <v>243</v>
      </c>
      <c r="D25" t="s">
        <v>243</v>
      </c>
    </row>
    <row r="26" spans="3:4">
      <c r="C26" t="s">
        <v>243</v>
      </c>
      <c r="D26" t="s">
        <v>243</v>
      </c>
    </row>
    <row r="27" spans="3:4">
      <c r="C27" t="s">
        <v>243</v>
      </c>
      <c r="D27" t="s">
        <v>243</v>
      </c>
    </row>
    <row r="28" spans="3:4">
      <c r="C28" t="s">
        <v>243</v>
      </c>
      <c r="D28" t="s">
        <v>243</v>
      </c>
    </row>
    <row r="29" spans="3:4">
      <c r="C29" t="s">
        <v>243</v>
      </c>
      <c r="D29" t="s">
        <v>243</v>
      </c>
    </row>
    <row r="30" spans="3:4">
      <c r="C30" t="s">
        <v>243</v>
      </c>
      <c r="D30" t="s">
        <v>243</v>
      </c>
    </row>
    <row r="31" spans="3:4">
      <c r="C31" t="s">
        <v>243</v>
      </c>
      <c r="D31" t="s">
        <v>243</v>
      </c>
    </row>
    <row r="32" spans="3:4">
      <c r="C32" t="s">
        <v>243</v>
      </c>
      <c r="D32" t="s">
        <v>243</v>
      </c>
    </row>
    <row r="33" spans="3:4">
      <c r="C33" t="s">
        <v>243</v>
      </c>
      <c r="D33" t="s">
        <v>243</v>
      </c>
    </row>
    <row r="34" spans="3:4">
      <c r="C34" t="s">
        <v>243</v>
      </c>
      <c r="D34" t="s">
        <v>243</v>
      </c>
    </row>
    <row r="35" spans="3:4">
      <c r="C35" t="s">
        <v>243</v>
      </c>
      <c r="D35" t="s">
        <v>243</v>
      </c>
    </row>
    <row r="36" spans="3:4">
      <c r="C36" t="s">
        <v>243</v>
      </c>
      <c r="D36" t="s">
        <v>243</v>
      </c>
    </row>
    <row r="37" spans="3:4">
      <c r="C37" t="s">
        <v>243</v>
      </c>
      <c r="D37" t="s">
        <v>243</v>
      </c>
    </row>
    <row r="38" spans="3:4">
      <c r="C38" t="s">
        <v>243</v>
      </c>
      <c r="D38" t="s">
        <v>243</v>
      </c>
    </row>
    <row r="39" spans="3:4">
      <c r="C39" t="s">
        <v>243</v>
      </c>
      <c r="D39" t="s">
        <v>243</v>
      </c>
    </row>
    <row r="40" spans="3:4">
      <c r="C40" t="s">
        <v>243</v>
      </c>
      <c r="D40" t="s">
        <v>243</v>
      </c>
    </row>
    <row r="41" spans="3:4">
      <c r="C41" t="s">
        <v>243</v>
      </c>
      <c r="D41" t="s">
        <v>243</v>
      </c>
    </row>
    <row r="42" spans="3:4">
      <c r="C42" t="s">
        <v>243</v>
      </c>
      <c r="D42" t="s">
        <v>243</v>
      </c>
    </row>
    <row r="43" spans="3:4">
      <c r="C43" t="s">
        <v>243</v>
      </c>
      <c r="D43" t="s">
        <v>243</v>
      </c>
    </row>
    <row r="44" spans="3:4">
      <c r="C44" t="s">
        <v>243</v>
      </c>
      <c r="D44" t="s">
        <v>243</v>
      </c>
    </row>
    <row r="45" spans="3:4">
      <c r="C45" t="s">
        <v>243</v>
      </c>
      <c r="D45" t="s">
        <v>243</v>
      </c>
    </row>
    <row r="46" spans="3:4">
      <c r="C46" t="s">
        <v>243</v>
      </c>
      <c r="D46" t="s">
        <v>243</v>
      </c>
    </row>
    <row r="47" spans="3:4">
      <c r="C47" t="s">
        <v>243</v>
      </c>
      <c r="D47" t="s">
        <v>243</v>
      </c>
    </row>
    <row r="48" spans="3:4">
      <c r="C48" t="s">
        <v>243</v>
      </c>
      <c r="D48" t="s">
        <v>243</v>
      </c>
    </row>
    <row r="49" spans="3:4">
      <c r="C49" t="s">
        <v>243</v>
      </c>
      <c r="D49" t="s">
        <v>243</v>
      </c>
    </row>
    <row r="50" spans="3:4">
      <c r="C50" t="s">
        <v>243</v>
      </c>
      <c r="D50" t="s">
        <v>243</v>
      </c>
    </row>
    <row r="51" spans="3:4">
      <c r="C51" t="s">
        <v>243</v>
      </c>
      <c r="D51" t="s">
        <v>243</v>
      </c>
    </row>
    <row r="52" spans="3:4">
      <c r="C52" t="s">
        <v>243</v>
      </c>
      <c r="D52" t="s">
        <v>243</v>
      </c>
    </row>
    <row r="53" spans="3:4">
      <c r="C53" t="s">
        <v>243</v>
      </c>
      <c r="D53" t="s">
        <v>243</v>
      </c>
    </row>
    <row r="54" spans="3:4">
      <c r="C54" t="s">
        <v>243</v>
      </c>
      <c r="D54" t="s">
        <v>243</v>
      </c>
    </row>
    <row r="55" spans="3:4">
      <c r="C55" t="s">
        <v>243</v>
      </c>
      <c r="D55" t="s">
        <v>243</v>
      </c>
    </row>
    <row r="56" spans="3:4">
      <c r="C56" t="s">
        <v>243</v>
      </c>
      <c r="D56" t="s">
        <v>243</v>
      </c>
    </row>
    <row r="57" spans="3:4">
      <c r="C57" t="s">
        <v>243</v>
      </c>
      <c r="D57" t="s">
        <v>243</v>
      </c>
    </row>
    <row r="58" spans="3:4">
      <c r="C58" t="s">
        <v>243</v>
      </c>
      <c r="D58" t="s">
        <v>243</v>
      </c>
    </row>
    <row r="59" spans="3:4">
      <c r="C59" t="s">
        <v>243</v>
      </c>
      <c r="D59" t="s">
        <v>243</v>
      </c>
    </row>
    <row r="60" spans="3:4">
      <c r="C60" t="s">
        <v>243</v>
      </c>
      <c r="D60" t="s">
        <v>243</v>
      </c>
    </row>
    <row r="61" spans="3:4">
      <c r="C61" t="s">
        <v>243</v>
      </c>
      <c r="D61" t="s">
        <v>243</v>
      </c>
    </row>
    <row r="62" spans="3:4">
      <c r="C62" t="s">
        <v>243</v>
      </c>
      <c r="D62" t="s">
        <v>243</v>
      </c>
    </row>
    <row r="63" spans="3:4">
      <c r="C63" t="s">
        <v>243</v>
      </c>
      <c r="D63" t="s">
        <v>243</v>
      </c>
    </row>
    <row r="64" spans="3:4">
      <c r="C64" t="s">
        <v>243</v>
      </c>
      <c r="D64" t="s">
        <v>243</v>
      </c>
    </row>
    <row r="65" spans="3:4">
      <c r="C65" t="s">
        <v>243</v>
      </c>
      <c r="D65" t="s">
        <v>243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8" sqref="F8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2663487.9500000002</v>
      </c>
      <c r="D8" s="11">
        <f>D9+D11+D14+D15</f>
        <v>2550133.2000000002</v>
      </c>
    </row>
    <row r="9" spans="1:4" ht="30">
      <c r="A9" s="12" t="s">
        <v>90</v>
      </c>
      <c r="B9" s="13" t="s">
        <v>91</v>
      </c>
      <c r="C9" s="14">
        <f>2346025.16</f>
        <v>2346025.16</v>
      </c>
      <c r="D9" s="15">
        <f>2277404.27</f>
        <v>2277404.27</v>
      </c>
    </row>
    <row r="10" spans="1:4">
      <c r="A10" s="16" t="s">
        <v>92</v>
      </c>
      <c r="B10" s="17" t="s">
        <v>93</v>
      </c>
      <c r="C10" s="18">
        <f>1470831.39784946</f>
        <v>1470831.3978494599</v>
      </c>
      <c r="D10" s="19">
        <f>_35h_E12</f>
        <v>1470831.3978494599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317462.79000000004</v>
      </c>
      <c r="D15" s="15">
        <f>SUM(D16:D24)</f>
        <v>272728.93</v>
      </c>
    </row>
    <row r="16" spans="1:4">
      <c r="A16" s="22" t="s">
        <v>103</v>
      </c>
      <c r="B16" s="17" t="s">
        <v>104</v>
      </c>
      <c r="C16" s="111">
        <v>202417.92000000001</v>
      </c>
      <c r="D16" s="113">
        <v>141364.47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64355.16</f>
        <v>64355.16</v>
      </c>
      <c r="D18" s="19">
        <f>80674.19</f>
        <v>80674.19</v>
      </c>
    </row>
    <row r="19" spans="1:4">
      <c r="A19" s="22" t="s">
        <v>109</v>
      </c>
      <c r="B19" s="17" t="s">
        <v>110</v>
      </c>
      <c r="C19" s="18">
        <f>5922.96</f>
        <v>5922.96</v>
      </c>
      <c r="D19" s="19">
        <f>5926.92</f>
        <v>5926.92</v>
      </c>
    </row>
    <row r="20" spans="1:4">
      <c r="A20" s="22" t="s">
        <v>111</v>
      </c>
      <c r="B20" s="17" t="s">
        <v>112</v>
      </c>
      <c r="C20" s="18">
        <f>7744.98</f>
        <v>7744.98</v>
      </c>
      <c r="D20" s="19">
        <f>7741.58</f>
        <v>7741.58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37021.77</f>
        <v>37021.769999999997</v>
      </c>
      <c r="D22" s="19">
        <f>37021.77</f>
        <v>37021.769999999997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882531.97000000102</v>
      </c>
      <c r="D25" s="15">
        <f>D26+D27+D30+D28+D29+D31</f>
        <v>539006.98</v>
      </c>
    </row>
    <row r="26" spans="1:4" ht="23.25" customHeight="1">
      <c r="A26" s="24" t="s">
        <v>123</v>
      </c>
      <c r="B26" s="20" t="s">
        <v>124</v>
      </c>
      <c r="C26" s="18">
        <f>268473.6</f>
        <v>268473.59999999998</v>
      </c>
      <c r="D26" s="19">
        <f>268473.6</f>
        <v>268473.59999999998</v>
      </c>
    </row>
    <row r="27" spans="1:4" ht="45">
      <c r="A27" s="24" t="s">
        <v>125</v>
      </c>
      <c r="B27" s="20" t="s">
        <v>126</v>
      </c>
      <c r="C27" s="18">
        <f>41396.76</f>
        <v>41396.76</v>
      </c>
      <c r="D27" s="19">
        <f>41465.54</f>
        <v>41465.54</v>
      </c>
    </row>
    <row r="28" spans="1:4" ht="32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41774.78</f>
        <v>41774.78</v>
      </c>
      <c r="D29" s="19">
        <f>41409.49</f>
        <v>41409.49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530886.83000000101</v>
      </c>
      <c r="D31" s="15">
        <f>SUM(D32:D39)</f>
        <v>187658.35</v>
      </c>
    </row>
    <row r="32" spans="1:4" ht="21.75" customHeight="1">
      <c r="A32" s="24" t="s">
        <v>135</v>
      </c>
      <c r="B32" s="17" t="s">
        <v>136</v>
      </c>
      <c r="C32" s="18">
        <f>61262.82</f>
        <v>61262.82</v>
      </c>
      <c r="D32" s="19">
        <f>61262.85</f>
        <v>61262.85</v>
      </c>
    </row>
    <row r="33" spans="1:4">
      <c r="A33" s="24" t="s">
        <v>137</v>
      </c>
      <c r="B33" s="17" t="s">
        <v>138</v>
      </c>
      <c r="C33" s="18">
        <f>56179.92</f>
        <v>56179.92</v>
      </c>
      <c r="D33" s="19">
        <f>39851.14</f>
        <v>39851.14</v>
      </c>
    </row>
    <row r="34" spans="1:4">
      <c r="A34" s="24" t="s">
        <v>139</v>
      </c>
      <c r="B34" s="17" t="s">
        <v>140</v>
      </c>
      <c r="C34" s="18">
        <f>44608.08</f>
        <v>44608.08</v>
      </c>
      <c r="D34" s="19">
        <f>45075.88</f>
        <v>45075.88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486</v>
      </c>
      <c r="B39" s="17" t="s">
        <v>150</v>
      </c>
      <c r="C39" s="18">
        <f>368836.010000001</f>
        <v>368836.010000001</v>
      </c>
      <c r="D39" s="35">
        <v>41468.480000000003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25088.76</v>
      </c>
      <c r="D45" s="27">
        <f>SUM(D46:D48)</f>
        <v>402508.99000000005</v>
      </c>
    </row>
    <row r="46" spans="1:4">
      <c r="A46" s="21" t="s">
        <v>163</v>
      </c>
      <c r="B46" s="17" t="s">
        <v>164</v>
      </c>
      <c r="C46" s="18">
        <f>24208.44</f>
        <v>24208.44</v>
      </c>
      <c r="D46" s="19">
        <f>26819.71</f>
        <v>26819.71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374808.96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282388.92</f>
        <v>282388.92</v>
      </c>
      <c r="D49" s="30">
        <f>361848.43</f>
        <v>361848.43</v>
      </c>
    </row>
    <row r="50" spans="1:4">
      <c r="A50" s="8" t="s">
        <v>169</v>
      </c>
      <c r="B50" s="9" t="s">
        <v>170</v>
      </c>
      <c r="C50" s="14">
        <f>C8+C25+C40+C41+C42+C43+C44+C45+C49+C51+C52</f>
        <v>3853497.600000001</v>
      </c>
      <c r="D50" s="15">
        <f>D8+D25+D40+D41+D42+D43+D44+D45+D49+D51+D52</f>
        <v>3853497.6000000006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2181088.62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2155449.9</f>
        <v>2155449.9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25638.72</f>
        <v>25638.720000000001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1184970</f>
        <v>1184970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3366058.62</v>
      </c>
      <c r="D59" s="27">
        <f>D54+D57+D58</f>
        <v>0</v>
      </c>
    </row>
    <row r="60" spans="1:4" ht="25.5">
      <c r="A60" s="33" t="s">
        <v>188</v>
      </c>
      <c r="B60" s="9"/>
      <c r="C60" s="34">
        <v>14304</v>
      </c>
      <c r="D60" s="35">
        <v>14304</v>
      </c>
    </row>
    <row r="61" spans="1:4" ht="15.75" thickBot="1">
      <c r="A61" s="36" t="s">
        <v>189</v>
      </c>
      <c r="B61" s="37"/>
      <c r="C61" s="38">
        <f>(C50+C51+C52)/C60/12</f>
        <v>22.450000000000006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241</v>
      </c>
      <c r="D7" t="s">
        <v>241</v>
      </c>
    </row>
    <row r="8" spans="3:4">
      <c r="C8" t="s">
        <v>241</v>
      </c>
      <c r="D8" t="s">
        <v>241</v>
      </c>
    </row>
    <row r="9" spans="3:4">
      <c r="C9" t="s">
        <v>241</v>
      </c>
      <c r="D9" t="s">
        <v>241</v>
      </c>
    </row>
    <row r="10" spans="3:4">
      <c r="C10" t="s">
        <v>241</v>
      </c>
      <c r="D10" t="s">
        <v>241</v>
      </c>
    </row>
    <row r="11" spans="3:4">
      <c r="C11" t="s">
        <v>241</v>
      </c>
      <c r="D11" t="s">
        <v>241</v>
      </c>
    </row>
    <row r="12" spans="3:4">
      <c r="C12" t="s">
        <v>241</v>
      </c>
      <c r="D12" t="s">
        <v>241</v>
      </c>
    </row>
    <row r="13" spans="3:4">
      <c r="C13" t="s">
        <v>241</v>
      </c>
      <c r="D13" t="s">
        <v>241</v>
      </c>
    </row>
    <row r="14" spans="3:4">
      <c r="C14" t="s">
        <v>241</v>
      </c>
      <c r="D14" t="s">
        <v>241</v>
      </c>
    </row>
    <row r="15" spans="3:4">
      <c r="C15" t="s">
        <v>241</v>
      </c>
      <c r="D15" t="s">
        <v>241</v>
      </c>
    </row>
    <row r="16" spans="3:4">
      <c r="C16" t="s">
        <v>241</v>
      </c>
      <c r="D16" t="s">
        <v>241</v>
      </c>
    </row>
    <row r="17" spans="3:4">
      <c r="C17" t="s">
        <v>241</v>
      </c>
      <c r="D17" t="s">
        <v>241</v>
      </c>
    </row>
    <row r="18" spans="3:4">
      <c r="C18" t="s">
        <v>241</v>
      </c>
      <c r="D18" t="s">
        <v>241</v>
      </c>
    </row>
    <row r="19" spans="3:4">
      <c r="C19" t="s">
        <v>241</v>
      </c>
      <c r="D19" t="s">
        <v>241</v>
      </c>
    </row>
    <row r="20" spans="3:4">
      <c r="C20" t="s">
        <v>241</v>
      </c>
      <c r="D20" t="s">
        <v>241</v>
      </c>
    </row>
    <row r="21" spans="3:4">
      <c r="C21" t="s">
        <v>241</v>
      </c>
      <c r="D21" t="s">
        <v>241</v>
      </c>
    </row>
    <row r="22" spans="3:4">
      <c r="C22" t="s">
        <v>241</v>
      </c>
      <c r="D22" t="s">
        <v>241</v>
      </c>
    </row>
    <row r="23" spans="3:4">
      <c r="C23" t="s">
        <v>241</v>
      </c>
      <c r="D23" t="s">
        <v>241</v>
      </c>
    </row>
    <row r="24" spans="3:4">
      <c r="C24" t="s">
        <v>241</v>
      </c>
      <c r="D24" t="s">
        <v>241</v>
      </c>
    </row>
    <row r="25" spans="3:4">
      <c r="C25" t="s">
        <v>241</v>
      </c>
      <c r="D25" t="s">
        <v>241</v>
      </c>
    </row>
    <row r="26" spans="3:4">
      <c r="C26" t="s">
        <v>241</v>
      </c>
      <c r="D26" t="s">
        <v>241</v>
      </c>
    </row>
    <row r="27" spans="3:4">
      <c r="C27" t="s">
        <v>241</v>
      </c>
      <c r="D27" t="s">
        <v>241</v>
      </c>
    </row>
    <row r="28" spans="3:4">
      <c r="C28" t="s">
        <v>241</v>
      </c>
      <c r="D28" t="s">
        <v>241</v>
      </c>
    </row>
    <row r="29" spans="3:4">
      <c r="C29" t="s">
        <v>241</v>
      </c>
      <c r="D29" t="s">
        <v>241</v>
      </c>
    </row>
    <row r="30" spans="3:4">
      <c r="C30" t="s">
        <v>241</v>
      </c>
      <c r="D30" t="s">
        <v>241</v>
      </c>
    </row>
    <row r="31" spans="3:4">
      <c r="C31" t="s">
        <v>241</v>
      </c>
      <c r="D31" t="s">
        <v>241</v>
      </c>
    </row>
    <row r="32" spans="3:4">
      <c r="C32" t="s">
        <v>241</v>
      </c>
      <c r="D32" t="s">
        <v>241</v>
      </c>
    </row>
    <row r="33" spans="3:4">
      <c r="C33" t="s">
        <v>241</v>
      </c>
      <c r="D33" t="s">
        <v>241</v>
      </c>
    </row>
    <row r="34" spans="3:4">
      <c r="C34" t="s">
        <v>241</v>
      </c>
      <c r="D34" t="s">
        <v>241</v>
      </c>
    </row>
    <row r="35" spans="3:4">
      <c r="C35" t="s">
        <v>241</v>
      </c>
      <c r="D35" t="s">
        <v>241</v>
      </c>
    </row>
    <row r="36" spans="3:4">
      <c r="C36" t="s">
        <v>241</v>
      </c>
      <c r="D36" t="s">
        <v>241</v>
      </c>
    </row>
    <row r="37" spans="3:4">
      <c r="C37" t="s">
        <v>241</v>
      </c>
      <c r="D37" t="s">
        <v>241</v>
      </c>
    </row>
    <row r="38" spans="3:4">
      <c r="C38" t="s">
        <v>241</v>
      </c>
      <c r="D38" t="s">
        <v>241</v>
      </c>
    </row>
    <row r="39" spans="3:4">
      <c r="C39" t="s">
        <v>241</v>
      </c>
      <c r="D39" t="s">
        <v>241</v>
      </c>
    </row>
    <row r="40" spans="3:4">
      <c r="C40" t="s">
        <v>241</v>
      </c>
      <c r="D40" t="s">
        <v>241</v>
      </c>
    </row>
    <row r="41" spans="3:4">
      <c r="C41" t="s">
        <v>241</v>
      </c>
      <c r="D41" t="s">
        <v>241</v>
      </c>
    </row>
    <row r="42" spans="3:4">
      <c r="C42" t="s">
        <v>241</v>
      </c>
      <c r="D42" t="s">
        <v>241</v>
      </c>
    </row>
    <row r="43" spans="3:4">
      <c r="C43" t="s">
        <v>241</v>
      </c>
      <c r="D43" t="s">
        <v>241</v>
      </c>
    </row>
    <row r="44" spans="3:4">
      <c r="C44" t="s">
        <v>241</v>
      </c>
      <c r="D44" t="s">
        <v>241</v>
      </c>
    </row>
    <row r="45" spans="3:4">
      <c r="C45" t="s">
        <v>241</v>
      </c>
      <c r="D45" t="s">
        <v>241</v>
      </c>
    </row>
    <row r="46" spans="3:4">
      <c r="C46" t="s">
        <v>241</v>
      </c>
      <c r="D46" t="s">
        <v>241</v>
      </c>
    </row>
    <row r="47" spans="3:4">
      <c r="C47" t="s">
        <v>241</v>
      </c>
      <c r="D47" t="s">
        <v>241</v>
      </c>
    </row>
    <row r="48" spans="3:4">
      <c r="C48" t="s">
        <v>241</v>
      </c>
      <c r="D48" t="s">
        <v>241</v>
      </c>
    </row>
    <row r="49" spans="3:4">
      <c r="C49" t="s">
        <v>241</v>
      </c>
      <c r="D49" t="s">
        <v>241</v>
      </c>
    </row>
    <row r="50" spans="3:4">
      <c r="C50" t="s">
        <v>241</v>
      </c>
      <c r="D50" t="s">
        <v>241</v>
      </c>
    </row>
    <row r="51" spans="3:4">
      <c r="C51" t="s">
        <v>241</v>
      </c>
      <c r="D51" t="s">
        <v>241</v>
      </c>
    </row>
    <row r="52" spans="3:4">
      <c r="C52" t="s">
        <v>241</v>
      </c>
      <c r="D52" t="s">
        <v>241</v>
      </c>
    </row>
    <row r="53" spans="3:4">
      <c r="C53" t="s">
        <v>241</v>
      </c>
      <c r="D53" t="s">
        <v>241</v>
      </c>
    </row>
    <row r="54" spans="3:4">
      <c r="C54" t="s">
        <v>241</v>
      </c>
      <c r="D54" t="s">
        <v>241</v>
      </c>
    </row>
    <row r="55" spans="3:4">
      <c r="C55" t="s">
        <v>241</v>
      </c>
      <c r="D55" t="s">
        <v>241</v>
      </c>
    </row>
    <row r="56" spans="3:4">
      <c r="C56" t="s">
        <v>241</v>
      </c>
      <c r="D56" t="s">
        <v>241</v>
      </c>
    </row>
    <row r="57" spans="3:4">
      <c r="C57" t="s">
        <v>241</v>
      </c>
      <c r="D57" t="s">
        <v>241</v>
      </c>
    </row>
    <row r="58" spans="3:4">
      <c r="C58" t="s">
        <v>241</v>
      </c>
      <c r="D58" t="s">
        <v>241</v>
      </c>
    </row>
    <row r="59" spans="3:4">
      <c r="C59" t="s">
        <v>241</v>
      </c>
      <c r="D59" t="s">
        <v>241</v>
      </c>
    </row>
    <row r="60" spans="3:4">
      <c r="C60" t="s">
        <v>241</v>
      </c>
      <c r="D60" t="s">
        <v>241</v>
      </c>
    </row>
    <row r="61" spans="3:4">
      <c r="C61" t="s">
        <v>241</v>
      </c>
      <c r="D61" t="s">
        <v>241</v>
      </c>
    </row>
    <row r="62" spans="3:4">
      <c r="C62" t="s">
        <v>241</v>
      </c>
      <c r="D62" t="s">
        <v>241</v>
      </c>
    </row>
    <row r="63" spans="3:4">
      <c r="C63" t="s">
        <v>241</v>
      </c>
      <c r="D63" t="s">
        <v>241</v>
      </c>
    </row>
    <row r="64" spans="3:4">
      <c r="C64" t="s">
        <v>241</v>
      </c>
      <c r="D64" t="s">
        <v>241</v>
      </c>
    </row>
    <row r="65" spans="3:4">
      <c r="C65" t="s">
        <v>241</v>
      </c>
      <c r="D65" t="s">
        <v>241</v>
      </c>
    </row>
  </sheetData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240</v>
      </c>
      <c r="D7" t="s">
        <v>240</v>
      </c>
    </row>
    <row r="8" spans="3:4">
      <c r="C8" t="s">
        <v>240</v>
      </c>
      <c r="D8" t="s">
        <v>240</v>
      </c>
    </row>
    <row r="9" spans="3:4">
      <c r="C9" t="s">
        <v>240</v>
      </c>
      <c r="D9" t="s">
        <v>240</v>
      </c>
    </row>
    <row r="10" spans="3:4">
      <c r="C10" t="s">
        <v>240</v>
      </c>
      <c r="D10" t="s">
        <v>240</v>
      </c>
    </row>
    <row r="11" spans="3:4">
      <c r="C11" t="s">
        <v>240</v>
      </c>
      <c r="D11" t="s">
        <v>240</v>
      </c>
    </row>
    <row r="12" spans="3:4">
      <c r="C12" t="s">
        <v>240</v>
      </c>
      <c r="D12" t="s">
        <v>240</v>
      </c>
    </row>
    <row r="13" spans="3:4">
      <c r="C13" t="s">
        <v>240</v>
      </c>
      <c r="D13" t="s">
        <v>240</v>
      </c>
    </row>
    <row r="14" spans="3:4">
      <c r="C14" t="s">
        <v>240</v>
      </c>
      <c r="D14" t="s">
        <v>240</v>
      </c>
    </row>
    <row r="15" spans="3:4">
      <c r="C15" t="s">
        <v>240</v>
      </c>
      <c r="D15" t="s">
        <v>240</v>
      </c>
    </row>
    <row r="16" spans="3:4">
      <c r="C16" t="s">
        <v>240</v>
      </c>
      <c r="D16" t="s">
        <v>240</v>
      </c>
    </row>
    <row r="17" spans="3:4">
      <c r="C17" t="s">
        <v>240</v>
      </c>
      <c r="D17" t="s">
        <v>240</v>
      </c>
    </row>
    <row r="18" spans="3:4">
      <c r="C18" t="s">
        <v>240</v>
      </c>
      <c r="D18" t="s">
        <v>240</v>
      </c>
    </row>
    <row r="19" spans="3:4">
      <c r="C19" t="s">
        <v>240</v>
      </c>
      <c r="D19" t="s">
        <v>240</v>
      </c>
    </row>
    <row r="20" spans="3:4">
      <c r="C20" t="s">
        <v>240</v>
      </c>
      <c r="D20" t="s">
        <v>240</v>
      </c>
    </row>
    <row r="21" spans="3:4">
      <c r="C21" t="s">
        <v>240</v>
      </c>
      <c r="D21" t="s">
        <v>240</v>
      </c>
    </row>
    <row r="22" spans="3:4">
      <c r="C22" t="s">
        <v>240</v>
      </c>
      <c r="D22" t="s">
        <v>240</v>
      </c>
    </row>
    <row r="23" spans="3:4">
      <c r="C23" t="s">
        <v>240</v>
      </c>
      <c r="D23" t="s">
        <v>240</v>
      </c>
    </row>
    <row r="24" spans="3:4">
      <c r="C24" t="s">
        <v>240</v>
      </c>
      <c r="D24" t="s">
        <v>240</v>
      </c>
    </row>
    <row r="25" spans="3:4">
      <c r="C25" t="s">
        <v>240</v>
      </c>
      <c r="D25" t="s">
        <v>240</v>
      </c>
    </row>
    <row r="26" spans="3:4">
      <c r="C26" t="s">
        <v>240</v>
      </c>
      <c r="D26" t="s">
        <v>240</v>
      </c>
    </row>
    <row r="27" spans="3:4">
      <c r="C27" t="s">
        <v>240</v>
      </c>
      <c r="D27" t="s">
        <v>240</v>
      </c>
    </row>
    <row r="28" spans="3:4">
      <c r="C28" t="s">
        <v>240</v>
      </c>
      <c r="D28" t="s">
        <v>240</v>
      </c>
    </row>
    <row r="29" spans="3:4">
      <c r="C29" t="s">
        <v>240</v>
      </c>
      <c r="D29" t="s">
        <v>240</v>
      </c>
    </row>
    <row r="30" spans="3:4">
      <c r="C30" t="s">
        <v>240</v>
      </c>
      <c r="D30" t="s">
        <v>240</v>
      </c>
    </row>
    <row r="31" spans="3:4">
      <c r="C31" t="s">
        <v>240</v>
      </c>
      <c r="D31" t="s">
        <v>240</v>
      </c>
    </row>
    <row r="32" spans="3:4">
      <c r="C32" t="s">
        <v>240</v>
      </c>
      <c r="D32" t="s">
        <v>240</v>
      </c>
    </row>
    <row r="33" spans="3:4">
      <c r="C33" t="s">
        <v>240</v>
      </c>
      <c r="D33" t="s">
        <v>240</v>
      </c>
    </row>
    <row r="34" spans="3:4">
      <c r="C34" t="s">
        <v>240</v>
      </c>
      <c r="D34" t="s">
        <v>240</v>
      </c>
    </row>
    <row r="35" spans="3:4">
      <c r="C35" t="s">
        <v>240</v>
      </c>
      <c r="D35" t="s">
        <v>240</v>
      </c>
    </row>
    <row r="36" spans="3:4">
      <c r="C36" t="s">
        <v>240</v>
      </c>
      <c r="D36" t="s">
        <v>240</v>
      </c>
    </row>
    <row r="37" spans="3:4">
      <c r="C37" t="s">
        <v>240</v>
      </c>
      <c r="D37" t="s">
        <v>240</v>
      </c>
    </row>
    <row r="38" spans="3:4">
      <c r="C38" t="s">
        <v>240</v>
      </c>
      <c r="D38" t="s">
        <v>240</v>
      </c>
    </row>
    <row r="39" spans="3:4">
      <c r="C39" t="s">
        <v>240</v>
      </c>
      <c r="D39" t="s">
        <v>240</v>
      </c>
    </row>
    <row r="40" spans="3:4">
      <c r="C40" t="s">
        <v>240</v>
      </c>
      <c r="D40" t="s">
        <v>240</v>
      </c>
    </row>
    <row r="41" spans="3:4">
      <c r="C41" t="s">
        <v>240</v>
      </c>
      <c r="D41" t="s">
        <v>240</v>
      </c>
    </row>
    <row r="42" spans="3:4">
      <c r="C42" t="s">
        <v>240</v>
      </c>
      <c r="D42" t="s">
        <v>240</v>
      </c>
    </row>
    <row r="43" spans="3:4">
      <c r="C43" t="s">
        <v>240</v>
      </c>
      <c r="D43" t="s">
        <v>240</v>
      </c>
    </row>
    <row r="44" spans="3:4">
      <c r="C44" t="s">
        <v>240</v>
      </c>
      <c r="D44" t="s">
        <v>240</v>
      </c>
    </row>
    <row r="45" spans="3:4">
      <c r="C45" t="s">
        <v>240</v>
      </c>
      <c r="D45" t="s">
        <v>240</v>
      </c>
    </row>
    <row r="46" spans="3:4">
      <c r="C46" t="s">
        <v>240</v>
      </c>
      <c r="D46" t="s">
        <v>240</v>
      </c>
    </row>
    <row r="47" spans="3:4">
      <c r="C47" t="s">
        <v>240</v>
      </c>
      <c r="D47" t="s">
        <v>240</v>
      </c>
    </row>
    <row r="48" spans="3:4">
      <c r="C48" t="s">
        <v>240</v>
      </c>
      <c r="D48" t="s">
        <v>240</v>
      </c>
    </row>
    <row r="49" spans="3:4">
      <c r="C49" t="s">
        <v>240</v>
      </c>
      <c r="D49" t="s">
        <v>240</v>
      </c>
    </row>
    <row r="50" spans="3:4">
      <c r="C50" t="s">
        <v>240</v>
      </c>
      <c r="D50" t="s">
        <v>240</v>
      </c>
    </row>
    <row r="51" spans="3:4">
      <c r="C51" t="s">
        <v>240</v>
      </c>
      <c r="D51" t="s">
        <v>240</v>
      </c>
    </row>
    <row r="52" spans="3:4">
      <c r="C52" t="s">
        <v>240</v>
      </c>
      <c r="D52" t="s">
        <v>240</v>
      </c>
    </row>
    <row r="53" spans="3:4">
      <c r="C53" t="s">
        <v>240</v>
      </c>
      <c r="D53" t="s">
        <v>240</v>
      </c>
    </row>
    <row r="54" spans="3:4">
      <c r="C54" t="s">
        <v>240</v>
      </c>
      <c r="D54" t="s">
        <v>240</v>
      </c>
    </row>
    <row r="55" spans="3:4">
      <c r="C55" t="s">
        <v>240</v>
      </c>
      <c r="D55" t="s">
        <v>240</v>
      </c>
    </row>
    <row r="56" spans="3:4">
      <c r="C56" t="s">
        <v>240</v>
      </c>
      <c r="D56" t="s">
        <v>240</v>
      </c>
    </row>
    <row r="57" spans="3:4">
      <c r="C57" t="s">
        <v>240</v>
      </c>
      <c r="D57" t="s">
        <v>240</v>
      </c>
    </row>
    <row r="58" spans="3:4">
      <c r="C58" t="s">
        <v>240</v>
      </c>
      <c r="D58" t="s">
        <v>240</v>
      </c>
    </row>
    <row r="59" spans="3:4">
      <c r="C59" t="s">
        <v>240</v>
      </c>
      <c r="D59" t="s">
        <v>240</v>
      </c>
    </row>
    <row r="60" spans="3:4">
      <c r="C60" t="s">
        <v>240</v>
      </c>
      <c r="D60" t="s">
        <v>240</v>
      </c>
    </row>
    <row r="61" spans="3:4">
      <c r="C61" t="s">
        <v>240</v>
      </c>
      <c r="D61" t="s">
        <v>240</v>
      </c>
    </row>
    <row r="62" spans="3:4">
      <c r="C62" t="s">
        <v>240</v>
      </c>
      <c r="D62" t="s">
        <v>240</v>
      </c>
    </row>
    <row r="63" spans="3:4">
      <c r="C63" t="s">
        <v>240</v>
      </c>
      <c r="D63" t="s">
        <v>240</v>
      </c>
    </row>
    <row r="64" spans="3:4">
      <c r="C64" t="s">
        <v>240</v>
      </c>
      <c r="D64" t="s">
        <v>240</v>
      </c>
    </row>
    <row r="65" spans="3:4">
      <c r="C65" t="s">
        <v>240</v>
      </c>
      <c r="D65" t="s">
        <v>240</v>
      </c>
    </row>
  </sheetData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238</v>
      </c>
      <c r="D7" t="s">
        <v>238</v>
      </c>
    </row>
    <row r="8" spans="3:4">
      <c r="C8" t="s">
        <v>238</v>
      </c>
      <c r="D8" t="s">
        <v>238</v>
      </c>
    </row>
    <row r="9" spans="3:4">
      <c r="C9" t="s">
        <v>238</v>
      </c>
      <c r="D9" t="s">
        <v>238</v>
      </c>
    </row>
    <row r="10" spans="3:4">
      <c r="C10" t="s">
        <v>238</v>
      </c>
      <c r="D10" t="s">
        <v>238</v>
      </c>
    </row>
    <row r="11" spans="3:4">
      <c r="C11" t="s">
        <v>238</v>
      </c>
      <c r="D11" t="s">
        <v>238</v>
      </c>
    </row>
    <row r="12" spans="3:4">
      <c r="C12" t="s">
        <v>238</v>
      </c>
      <c r="D12" t="s">
        <v>238</v>
      </c>
    </row>
    <row r="13" spans="3:4">
      <c r="C13" t="s">
        <v>238</v>
      </c>
      <c r="D13" t="s">
        <v>238</v>
      </c>
    </row>
    <row r="14" spans="3:4">
      <c r="C14" t="s">
        <v>238</v>
      </c>
      <c r="D14" t="s">
        <v>238</v>
      </c>
    </row>
    <row r="15" spans="3:4">
      <c r="C15" t="s">
        <v>238</v>
      </c>
      <c r="D15" t="s">
        <v>238</v>
      </c>
    </row>
    <row r="16" spans="3:4">
      <c r="C16" t="s">
        <v>238</v>
      </c>
      <c r="D16" t="s">
        <v>238</v>
      </c>
    </row>
    <row r="17" spans="3:4">
      <c r="C17" t="s">
        <v>238</v>
      </c>
      <c r="D17" t="s">
        <v>238</v>
      </c>
    </row>
    <row r="18" spans="3:4">
      <c r="C18" t="s">
        <v>238</v>
      </c>
      <c r="D18" t="s">
        <v>238</v>
      </c>
    </row>
    <row r="19" spans="3:4">
      <c r="C19" t="s">
        <v>238</v>
      </c>
      <c r="D19" t="s">
        <v>238</v>
      </c>
    </row>
    <row r="20" spans="3:4">
      <c r="C20" t="s">
        <v>238</v>
      </c>
      <c r="D20" t="s">
        <v>238</v>
      </c>
    </row>
    <row r="21" spans="3:4">
      <c r="C21" t="s">
        <v>238</v>
      </c>
      <c r="D21" t="s">
        <v>238</v>
      </c>
    </row>
    <row r="22" spans="3:4">
      <c r="C22" t="s">
        <v>238</v>
      </c>
      <c r="D22" t="s">
        <v>238</v>
      </c>
    </row>
    <row r="23" spans="3:4">
      <c r="C23" t="s">
        <v>238</v>
      </c>
      <c r="D23" t="s">
        <v>238</v>
      </c>
    </row>
    <row r="24" spans="3:4">
      <c r="C24" t="s">
        <v>238</v>
      </c>
      <c r="D24" t="s">
        <v>238</v>
      </c>
    </row>
    <row r="25" spans="3:4">
      <c r="C25" t="s">
        <v>238</v>
      </c>
      <c r="D25" t="s">
        <v>238</v>
      </c>
    </row>
    <row r="26" spans="3:4">
      <c r="C26" t="s">
        <v>238</v>
      </c>
      <c r="D26" t="s">
        <v>238</v>
      </c>
    </row>
    <row r="27" spans="3:4">
      <c r="C27" t="s">
        <v>238</v>
      </c>
      <c r="D27" t="s">
        <v>238</v>
      </c>
    </row>
    <row r="28" spans="3:4">
      <c r="C28" t="s">
        <v>238</v>
      </c>
      <c r="D28" t="s">
        <v>238</v>
      </c>
    </row>
    <row r="29" spans="3:4">
      <c r="C29" t="s">
        <v>238</v>
      </c>
      <c r="D29" t="s">
        <v>238</v>
      </c>
    </row>
    <row r="30" spans="3:4">
      <c r="C30" t="s">
        <v>238</v>
      </c>
      <c r="D30" t="s">
        <v>238</v>
      </c>
    </row>
    <row r="31" spans="3:4">
      <c r="C31" t="s">
        <v>238</v>
      </c>
      <c r="D31" t="s">
        <v>238</v>
      </c>
    </row>
    <row r="32" spans="3:4">
      <c r="C32" t="s">
        <v>238</v>
      </c>
      <c r="D32" t="s">
        <v>238</v>
      </c>
    </row>
    <row r="33" spans="3:4">
      <c r="C33" t="s">
        <v>238</v>
      </c>
      <c r="D33" t="s">
        <v>238</v>
      </c>
    </row>
    <row r="34" spans="3:4">
      <c r="C34" t="s">
        <v>238</v>
      </c>
      <c r="D34" t="s">
        <v>238</v>
      </c>
    </row>
    <row r="35" spans="3:4">
      <c r="C35" t="s">
        <v>238</v>
      </c>
      <c r="D35" t="s">
        <v>238</v>
      </c>
    </row>
    <row r="36" spans="3:4">
      <c r="C36" t="s">
        <v>238</v>
      </c>
      <c r="D36" t="s">
        <v>238</v>
      </c>
    </row>
    <row r="37" spans="3:4">
      <c r="C37" t="s">
        <v>238</v>
      </c>
      <c r="D37" t="s">
        <v>238</v>
      </c>
    </row>
    <row r="38" spans="3:4">
      <c r="C38" t="s">
        <v>238</v>
      </c>
      <c r="D38" t="s">
        <v>238</v>
      </c>
    </row>
    <row r="39" spans="3:4">
      <c r="C39" t="s">
        <v>238</v>
      </c>
      <c r="D39" t="s">
        <v>238</v>
      </c>
    </row>
    <row r="40" spans="3:4">
      <c r="C40" t="s">
        <v>238</v>
      </c>
      <c r="D40" t="s">
        <v>238</v>
      </c>
    </row>
    <row r="41" spans="3:4">
      <c r="C41" t="s">
        <v>238</v>
      </c>
      <c r="D41" t="s">
        <v>238</v>
      </c>
    </row>
    <row r="42" spans="3:4">
      <c r="C42" t="s">
        <v>238</v>
      </c>
      <c r="D42" t="s">
        <v>238</v>
      </c>
    </row>
    <row r="43" spans="3:4">
      <c r="C43" t="s">
        <v>238</v>
      </c>
      <c r="D43" t="s">
        <v>238</v>
      </c>
    </row>
    <row r="44" spans="3:4">
      <c r="C44" t="s">
        <v>238</v>
      </c>
      <c r="D44" t="s">
        <v>238</v>
      </c>
    </row>
    <row r="45" spans="3:4">
      <c r="C45" t="s">
        <v>238</v>
      </c>
      <c r="D45" t="s">
        <v>238</v>
      </c>
    </row>
    <row r="46" spans="3:4">
      <c r="C46" t="s">
        <v>238</v>
      </c>
      <c r="D46" t="s">
        <v>238</v>
      </c>
    </row>
    <row r="47" spans="3:4">
      <c r="C47" t="s">
        <v>238</v>
      </c>
      <c r="D47" t="s">
        <v>238</v>
      </c>
    </row>
    <row r="48" spans="3:4">
      <c r="C48" t="s">
        <v>238</v>
      </c>
      <c r="D48" t="s">
        <v>238</v>
      </c>
    </row>
    <row r="49" spans="3:4">
      <c r="C49" t="s">
        <v>238</v>
      </c>
      <c r="D49" t="s">
        <v>238</v>
      </c>
    </row>
    <row r="50" spans="3:4">
      <c r="C50" t="s">
        <v>238</v>
      </c>
      <c r="D50" t="s">
        <v>238</v>
      </c>
    </row>
    <row r="51" spans="3:4">
      <c r="C51" t="s">
        <v>238</v>
      </c>
      <c r="D51" t="s">
        <v>238</v>
      </c>
    </row>
    <row r="52" spans="3:4">
      <c r="C52" t="s">
        <v>238</v>
      </c>
      <c r="D52" t="s">
        <v>238</v>
      </c>
    </row>
    <row r="53" spans="3:4">
      <c r="C53" t="s">
        <v>238</v>
      </c>
      <c r="D53" t="s">
        <v>238</v>
      </c>
    </row>
    <row r="54" spans="3:4">
      <c r="C54" t="s">
        <v>238</v>
      </c>
      <c r="D54" t="s">
        <v>238</v>
      </c>
    </row>
    <row r="55" spans="3:4">
      <c r="C55" t="s">
        <v>238</v>
      </c>
      <c r="D55" t="s">
        <v>238</v>
      </c>
    </row>
    <row r="56" spans="3:4">
      <c r="C56" t="s">
        <v>238</v>
      </c>
      <c r="D56" t="s">
        <v>238</v>
      </c>
    </row>
    <row r="57" spans="3:4">
      <c r="C57" t="s">
        <v>238</v>
      </c>
      <c r="D57" t="s">
        <v>238</v>
      </c>
    </row>
    <row r="58" spans="3:4">
      <c r="C58" t="s">
        <v>238</v>
      </c>
      <c r="D58" t="s">
        <v>238</v>
      </c>
    </row>
    <row r="59" spans="3:4">
      <c r="C59" t="s">
        <v>238</v>
      </c>
      <c r="D59" t="s">
        <v>238</v>
      </c>
    </row>
    <row r="60" spans="3:4">
      <c r="C60" t="s">
        <v>238</v>
      </c>
      <c r="D60" t="s">
        <v>238</v>
      </c>
    </row>
    <row r="61" spans="3:4">
      <c r="C61" t="s">
        <v>238</v>
      </c>
      <c r="D61" t="s">
        <v>238</v>
      </c>
    </row>
    <row r="62" spans="3:4">
      <c r="C62" t="s">
        <v>238</v>
      </c>
      <c r="D62" t="s">
        <v>238</v>
      </c>
    </row>
    <row r="63" spans="3:4">
      <c r="C63" t="s">
        <v>238</v>
      </c>
      <c r="D63" t="s">
        <v>238</v>
      </c>
    </row>
    <row r="64" spans="3:4">
      <c r="C64" t="s">
        <v>238</v>
      </c>
      <c r="D64" t="s">
        <v>238</v>
      </c>
    </row>
    <row r="65" spans="3:4">
      <c r="C65" t="s">
        <v>238</v>
      </c>
      <c r="D65" t="s">
        <v>238</v>
      </c>
    </row>
  </sheetData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236</v>
      </c>
      <c r="D7" t="s">
        <v>236</v>
      </c>
    </row>
    <row r="8" spans="3:4">
      <c r="C8" t="s">
        <v>236</v>
      </c>
      <c r="D8" t="s">
        <v>236</v>
      </c>
    </row>
    <row r="9" spans="3:4">
      <c r="C9" t="s">
        <v>236</v>
      </c>
      <c r="D9" t="s">
        <v>236</v>
      </c>
    </row>
    <row r="10" spans="3:4">
      <c r="C10" t="s">
        <v>236</v>
      </c>
      <c r="D10" t="s">
        <v>236</v>
      </c>
    </row>
    <row r="11" spans="3:4">
      <c r="C11" t="s">
        <v>236</v>
      </c>
      <c r="D11" t="s">
        <v>236</v>
      </c>
    </row>
    <row r="12" spans="3:4">
      <c r="C12" t="s">
        <v>236</v>
      </c>
      <c r="D12" t="s">
        <v>236</v>
      </c>
    </row>
    <row r="13" spans="3:4">
      <c r="C13" t="s">
        <v>236</v>
      </c>
      <c r="D13" t="s">
        <v>236</v>
      </c>
    </row>
    <row r="14" spans="3:4">
      <c r="C14" t="s">
        <v>236</v>
      </c>
      <c r="D14" t="s">
        <v>236</v>
      </c>
    </row>
    <row r="15" spans="3:4">
      <c r="C15" t="s">
        <v>236</v>
      </c>
      <c r="D15" t="s">
        <v>236</v>
      </c>
    </row>
    <row r="16" spans="3:4">
      <c r="C16" t="s">
        <v>236</v>
      </c>
      <c r="D16" t="s">
        <v>236</v>
      </c>
    </row>
    <row r="17" spans="3:4">
      <c r="C17" t="s">
        <v>236</v>
      </c>
      <c r="D17" t="s">
        <v>236</v>
      </c>
    </row>
    <row r="18" spans="3:4">
      <c r="C18" t="s">
        <v>236</v>
      </c>
      <c r="D18" t="s">
        <v>236</v>
      </c>
    </row>
    <row r="19" spans="3:4">
      <c r="C19" t="s">
        <v>236</v>
      </c>
      <c r="D19" t="s">
        <v>236</v>
      </c>
    </row>
    <row r="20" spans="3:4">
      <c r="C20" t="s">
        <v>236</v>
      </c>
      <c r="D20" t="s">
        <v>236</v>
      </c>
    </row>
    <row r="21" spans="3:4">
      <c r="C21" t="s">
        <v>236</v>
      </c>
      <c r="D21" t="s">
        <v>236</v>
      </c>
    </row>
    <row r="22" spans="3:4">
      <c r="C22" t="s">
        <v>236</v>
      </c>
      <c r="D22" t="s">
        <v>236</v>
      </c>
    </row>
    <row r="23" spans="3:4">
      <c r="C23" t="s">
        <v>236</v>
      </c>
      <c r="D23" t="s">
        <v>236</v>
      </c>
    </row>
    <row r="24" spans="3:4">
      <c r="C24" t="s">
        <v>236</v>
      </c>
      <c r="D24" t="s">
        <v>236</v>
      </c>
    </row>
    <row r="25" spans="3:4">
      <c r="C25" t="s">
        <v>236</v>
      </c>
      <c r="D25" t="s">
        <v>236</v>
      </c>
    </row>
    <row r="26" spans="3:4">
      <c r="C26" t="s">
        <v>236</v>
      </c>
      <c r="D26" t="s">
        <v>236</v>
      </c>
    </row>
    <row r="27" spans="3:4">
      <c r="C27" t="s">
        <v>236</v>
      </c>
      <c r="D27" t="s">
        <v>236</v>
      </c>
    </row>
    <row r="28" spans="3:4">
      <c r="C28" t="s">
        <v>236</v>
      </c>
      <c r="D28" t="s">
        <v>236</v>
      </c>
    </row>
    <row r="29" spans="3:4">
      <c r="C29" t="s">
        <v>236</v>
      </c>
      <c r="D29" t="s">
        <v>236</v>
      </c>
    </row>
    <row r="30" spans="3:4">
      <c r="C30" t="s">
        <v>236</v>
      </c>
      <c r="D30" t="s">
        <v>236</v>
      </c>
    </row>
    <row r="31" spans="3:4">
      <c r="C31" t="s">
        <v>236</v>
      </c>
      <c r="D31" t="s">
        <v>236</v>
      </c>
    </row>
    <row r="32" spans="3:4">
      <c r="C32" t="s">
        <v>236</v>
      </c>
      <c r="D32" t="s">
        <v>236</v>
      </c>
    </row>
    <row r="33" spans="3:4">
      <c r="C33" t="s">
        <v>236</v>
      </c>
      <c r="D33" t="s">
        <v>236</v>
      </c>
    </row>
    <row r="34" spans="3:4">
      <c r="C34" t="s">
        <v>236</v>
      </c>
      <c r="D34" t="s">
        <v>236</v>
      </c>
    </row>
    <row r="35" spans="3:4">
      <c r="C35" t="s">
        <v>236</v>
      </c>
      <c r="D35" t="s">
        <v>236</v>
      </c>
    </row>
    <row r="36" spans="3:4">
      <c r="C36" t="s">
        <v>236</v>
      </c>
      <c r="D36" t="s">
        <v>236</v>
      </c>
    </row>
    <row r="37" spans="3:4">
      <c r="C37" t="s">
        <v>236</v>
      </c>
      <c r="D37" t="s">
        <v>236</v>
      </c>
    </row>
    <row r="38" spans="3:4">
      <c r="C38" t="s">
        <v>236</v>
      </c>
      <c r="D38" t="s">
        <v>236</v>
      </c>
    </row>
    <row r="39" spans="3:4">
      <c r="C39" t="s">
        <v>236</v>
      </c>
      <c r="D39" t="s">
        <v>236</v>
      </c>
    </row>
    <row r="40" spans="3:4">
      <c r="C40" t="s">
        <v>236</v>
      </c>
      <c r="D40" t="s">
        <v>236</v>
      </c>
    </row>
    <row r="41" spans="3:4">
      <c r="C41" t="s">
        <v>236</v>
      </c>
      <c r="D41" t="s">
        <v>236</v>
      </c>
    </row>
    <row r="42" spans="3:4">
      <c r="C42" t="s">
        <v>236</v>
      </c>
      <c r="D42" t="s">
        <v>236</v>
      </c>
    </row>
    <row r="43" spans="3:4">
      <c r="C43" t="s">
        <v>236</v>
      </c>
      <c r="D43" t="s">
        <v>236</v>
      </c>
    </row>
    <row r="44" spans="3:4">
      <c r="C44" t="s">
        <v>236</v>
      </c>
      <c r="D44" t="s">
        <v>236</v>
      </c>
    </row>
    <row r="45" spans="3:4">
      <c r="C45" t="s">
        <v>236</v>
      </c>
      <c r="D45" t="s">
        <v>236</v>
      </c>
    </row>
    <row r="46" spans="3:4">
      <c r="C46" t="s">
        <v>236</v>
      </c>
      <c r="D46" t="s">
        <v>236</v>
      </c>
    </row>
    <row r="47" spans="3:4">
      <c r="C47" t="s">
        <v>236</v>
      </c>
      <c r="D47" t="s">
        <v>236</v>
      </c>
    </row>
    <row r="48" spans="3:4">
      <c r="C48" t="s">
        <v>236</v>
      </c>
      <c r="D48" t="s">
        <v>236</v>
      </c>
    </row>
    <row r="49" spans="3:4">
      <c r="C49" t="s">
        <v>236</v>
      </c>
      <c r="D49" t="s">
        <v>236</v>
      </c>
    </row>
    <row r="50" spans="3:4">
      <c r="C50" t="s">
        <v>236</v>
      </c>
      <c r="D50" t="s">
        <v>236</v>
      </c>
    </row>
    <row r="51" spans="3:4">
      <c r="C51" t="s">
        <v>236</v>
      </c>
      <c r="D51" t="s">
        <v>236</v>
      </c>
    </row>
    <row r="52" spans="3:4">
      <c r="C52" t="s">
        <v>236</v>
      </c>
      <c r="D52" t="s">
        <v>236</v>
      </c>
    </row>
    <row r="53" spans="3:4">
      <c r="C53" t="s">
        <v>236</v>
      </c>
      <c r="D53" t="s">
        <v>236</v>
      </c>
    </row>
    <row r="54" spans="3:4">
      <c r="C54" t="s">
        <v>236</v>
      </c>
      <c r="D54" t="s">
        <v>236</v>
      </c>
    </row>
    <row r="55" spans="3:4">
      <c r="C55" t="s">
        <v>236</v>
      </c>
      <c r="D55" t="s">
        <v>236</v>
      </c>
    </row>
    <row r="56" spans="3:4">
      <c r="C56" t="s">
        <v>236</v>
      </c>
      <c r="D56" t="s">
        <v>236</v>
      </c>
    </row>
    <row r="57" spans="3:4">
      <c r="C57" t="s">
        <v>236</v>
      </c>
      <c r="D57" t="s">
        <v>236</v>
      </c>
    </row>
    <row r="58" spans="3:4">
      <c r="C58" t="s">
        <v>236</v>
      </c>
      <c r="D58" t="s">
        <v>236</v>
      </c>
    </row>
    <row r="59" spans="3:4">
      <c r="C59" t="s">
        <v>236</v>
      </c>
      <c r="D59" t="s">
        <v>236</v>
      </c>
    </row>
    <row r="60" spans="3:4">
      <c r="C60" t="s">
        <v>236</v>
      </c>
      <c r="D60" t="s">
        <v>236</v>
      </c>
    </row>
    <row r="61" spans="3:4">
      <c r="C61" t="s">
        <v>236</v>
      </c>
      <c r="D61" t="s">
        <v>236</v>
      </c>
    </row>
    <row r="62" spans="3:4">
      <c r="C62" t="s">
        <v>236</v>
      </c>
      <c r="D62" t="s">
        <v>236</v>
      </c>
    </row>
    <row r="63" spans="3:4">
      <c r="C63" t="s">
        <v>236</v>
      </c>
      <c r="D63" t="s">
        <v>236</v>
      </c>
    </row>
    <row r="64" spans="3:4">
      <c r="C64" t="s">
        <v>236</v>
      </c>
      <c r="D64" t="s">
        <v>236</v>
      </c>
    </row>
    <row r="65" spans="3:4">
      <c r="C65" t="s">
        <v>236</v>
      </c>
      <c r="D65" t="s">
        <v>236</v>
      </c>
    </row>
  </sheetData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234</v>
      </c>
      <c r="D7" t="s">
        <v>234</v>
      </c>
    </row>
    <row r="8" spans="3:4">
      <c r="C8" t="s">
        <v>234</v>
      </c>
      <c r="D8" t="s">
        <v>234</v>
      </c>
    </row>
    <row r="9" spans="3:4">
      <c r="C9" t="s">
        <v>234</v>
      </c>
      <c r="D9" t="s">
        <v>234</v>
      </c>
    </row>
    <row r="10" spans="3:4">
      <c r="C10" t="s">
        <v>234</v>
      </c>
      <c r="D10" t="s">
        <v>234</v>
      </c>
    </row>
    <row r="11" spans="3:4">
      <c r="C11" t="s">
        <v>234</v>
      </c>
      <c r="D11" t="s">
        <v>234</v>
      </c>
    </row>
    <row r="12" spans="3:4">
      <c r="C12" t="s">
        <v>234</v>
      </c>
      <c r="D12" t="s">
        <v>234</v>
      </c>
    </row>
    <row r="13" spans="3:4">
      <c r="C13" t="s">
        <v>234</v>
      </c>
      <c r="D13" t="s">
        <v>234</v>
      </c>
    </row>
    <row r="14" spans="3:4">
      <c r="C14" t="s">
        <v>234</v>
      </c>
      <c r="D14" t="s">
        <v>234</v>
      </c>
    </row>
    <row r="15" spans="3:4">
      <c r="C15" t="s">
        <v>234</v>
      </c>
      <c r="D15" t="s">
        <v>234</v>
      </c>
    </row>
    <row r="16" spans="3:4">
      <c r="C16" t="s">
        <v>234</v>
      </c>
      <c r="D16" t="s">
        <v>234</v>
      </c>
    </row>
    <row r="17" spans="3:4">
      <c r="C17" t="s">
        <v>234</v>
      </c>
      <c r="D17" t="s">
        <v>234</v>
      </c>
    </row>
    <row r="18" spans="3:4">
      <c r="C18" t="s">
        <v>234</v>
      </c>
      <c r="D18" t="s">
        <v>234</v>
      </c>
    </row>
    <row r="19" spans="3:4">
      <c r="C19" t="s">
        <v>234</v>
      </c>
      <c r="D19" t="s">
        <v>234</v>
      </c>
    </row>
    <row r="20" spans="3:4">
      <c r="C20" t="s">
        <v>234</v>
      </c>
      <c r="D20" t="s">
        <v>234</v>
      </c>
    </row>
    <row r="21" spans="3:4">
      <c r="C21" t="s">
        <v>234</v>
      </c>
      <c r="D21" t="s">
        <v>234</v>
      </c>
    </row>
    <row r="22" spans="3:4">
      <c r="C22" t="s">
        <v>234</v>
      </c>
      <c r="D22" t="s">
        <v>234</v>
      </c>
    </row>
    <row r="23" spans="3:4">
      <c r="C23" t="s">
        <v>234</v>
      </c>
      <c r="D23" t="s">
        <v>234</v>
      </c>
    </row>
    <row r="24" spans="3:4">
      <c r="C24" t="s">
        <v>234</v>
      </c>
      <c r="D24" t="s">
        <v>234</v>
      </c>
    </row>
    <row r="25" spans="3:4">
      <c r="C25" t="s">
        <v>234</v>
      </c>
      <c r="D25" t="s">
        <v>234</v>
      </c>
    </row>
    <row r="26" spans="3:4">
      <c r="C26" t="s">
        <v>234</v>
      </c>
      <c r="D26" t="s">
        <v>234</v>
      </c>
    </row>
    <row r="27" spans="3:4">
      <c r="C27" t="s">
        <v>234</v>
      </c>
      <c r="D27" t="s">
        <v>234</v>
      </c>
    </row>
    <row r="28" spans="3:4">
      <c r="C28" t="s">
        <v>234</v>
      </c>
      <c r="D28" t="s">
        <v>234</v>
      </c>
    </row>
    <row r="29" spans="3:4">
      <c r="C29" t="s">
        <v>234</v>
      </c>
      <c r="D29" t="s">
        <v>234</v>
      </c>
    </row>
    <row r="30" spans="3:4">
      <c r="C30" t="s">
        <v>234</v>
      </c>
      <c r="D30" t="s">
        <v>234</v>
      </c>
    </row>
    <row r="31" spans="3:4">
      <c r="C31" t="s">
        <v>234</v>
      </c>
      <c r="D31" t="s">
        <v>234</v>
      </c>
    </row>
    <row r="32" spans="3:4">
      <c r="C32" t="s">
        <v>234</v>
      </c>
      <c r="D32" t="s">
        <v>234</v>
      </c>
    </row>
    <row r="33" spans="3:4">
      <c r="C33" t="s">
        <v>234</v>
      </c>
      <c r="D33" t="s">
        <v>234</v>
      </c>
    </row>
    <row r="34" spans="3:4">
      <c r="C34" t="s">
        <v>234</v>
      </c>
      <c r="D34" t="s">
        <v>234</v>
      </c>
    </row>
    <row r="35" spans="3:4">
      <c r="C35" t="s">
        <v>234</v>
      </c>
      <c r="D35" t="s">
        <v>234</v>
      </c>
    </row>
    <row r="36" spans="3:4">
      <c r="C36" t="s">
        <v>234</v>
      </c>
      <c r="D36" t="s">
        <v>234</v>
      </c>
    </row>
    <row r="37" spans="3:4">
      <c r="C37" t="s">
        <v>234</v>
      </c>
      <c r="D37" t="s">
        <v>234</v>
      </c>
    </row>
    <row r="38" spans="3:4">
      <c r="C38" t="s">
        <v>234</v>
      </c>
      <c r="D38" t="s">
        <v>234</v>
      </c>
    </row>
    <row r="39" spans="3:4">
      <c r="C39" t="s">
        <v>234</v>
      </c>
      <c r="D39" t="s">
        <v>234</v>
      </c>
    </row>
    <row r="40" spans="3:4">
      <c r="C40" t="s">
        <v>234</v>
      </c>
      <c r="D40" t="s">
        <v>234</v>
      </c>
    </row>
    <row r="41" spans="3:4">
      <c r="C41" t="s">
        <v>234</v>
      </c>
      <c r="D41" t="s">
        <v>234</v>
      </c>
    </row>
    <row r="42" spans="3:4">
      <c r="C42" t="s">
        <v>234</v>
      </c>
      <c r="D42" t="s">
        <v>234</v>
      </c>
    </row>
    <row r="43" spans="3:4">
      <c r="C43" t="s">
        <v>234</v>
      </c>
      <c r="D43" t="s">
        <v>234</v>
      </c>
    </row>
    <row r="44" spans="3:4">
      <c r="C44" t="s">
        <v>234</v>
      </c>
      <c r="D44" t="s">
        <v>234</v>
      </c>
    </row>
    <row r="45" spans="3:4">
      <c r="C45" t="s">
        <v>234</v>
      </c>
      <c r="D45" t="s">
        <v>234</v>
      </c>
    </row>
    <row r="46" spans="3:4">
      <c r="C46" t="s">
        <v>234</v>
      </c>
      <c r="D46" t="s">
        <v>234</v>
      </c>
    </row>
    <row r="47" spans="3:4">
      <c r="C47" t="s">
        <v>234</v>
      </c>
      <c r="D47" t="s">
        <v>234</v>
      </c>
    </row>
    <row r="48" spans="3:4">
      <c r="C48" t="s">
        <v>234</v>
      </c>
      <c r="D48" t="s">
        <v>234</v>
      </c>
    </row>
    <row r="49" spans="3:4">
      <c r="C49" t="s">
        <v>234</v>
      </c>
      <c r="D49" t="s">
        <v>234</v>
      </c>
    </row>
    <row r="50" spans="3:4">
      <c r="C50" t="s">
        <v>234</v>
      </c>
      <c r="D50" t="s">
        <v>234</v>
      </c>
    </row>
    <row r="51" spans="3:4">
      <c r="C51" t="s">
        <v>234</v>
      </c>
      <c r="D51" t="s">
        <v>234</v>
      </c>
    </row>
    <row r="52" spans="3:4">
      <c r="C52" t="s">
        <v>234</v>
      </c>
      <c r="D52" t="s">
        <v>234</v>
      </c>
    </row>
    <row r="53" spans="3:4">
      <c r="C53" t="s">
        <v>234</v>
      </c>
      <c r="D53" t="s">
        <v>234</v>
      </c>
    </row>
    <row r="54" spans="3:4">
      <c r="C54" t="s">
        <v>234</v>
      </c>
      <c r="D54" t="s">
        <v>234</v>
      </c>
    </row>
    <row r="55" spans="3:4">
      <c r="C55" t="s">
        <v>234</v>
      </c>
      <c r="D55" t="s">
        <v>234</v>
      </c>
    </row>
    <row r="56" spans="3:4">
      <c r="C56" t="s">
        <v>234</v>
      </c>
      <c r="D56" t="s">
        <v>234</v>
      </c>
    </row>
    <row r="57" spans="3:4">
      <c r="C57" t="s">
        <v>234</v>
      </c>
      <c r="D57" t="s">
        <v>234</v>
      </c>
    </row>
    <row r="58" spans="3:4">
      <c r="C58" t="s">
        <v>234</v>
      </c>
      <c r="D58" t="s">
        <v>234</v>
      </c>
    </row>
    <row r="59" spans="3:4">
      <c r="C59" t="s">
        <v>234</v>
      </c>
      <c r="D59" t="s">
        <v>234</v>
      </c>
    </row>
    <row r="60" spans="3:4">
      <c r="C60" t="s">
        <v>234</v>
      </c>
      <c r="D60" t="s">
        <v>234</v>
      </c>
    </row>
    <row r="61" spans="3:4">
      <c r="C61" t="s">
        <v>234</v>
      </c>
      <c r="D61" t="s">
        <v>234</v>
      </c>
    </row>
    <row r="62" spans="3:4">
      <c r="C62" t="s">
        <v>234</v>
      </c>
      <c r="D62" t="s">
        <v>234</v>
      </c>
    </row>
    <row r="63" spans="3:4">
      <c r="C63" t="s">
        <v>234</v>
      </c>
      <c r="D63" t="s">
        <v>234</v>
      </c>
    </row>
    <row r="64" spans="3:4">
      <c r="C64" t="s">
        <v>234</v>
      </c>
      <c r="D64" t="s">
        <v>234</v>
      </c>
    </row>
    <row r="65" spans="3:4">
      <c r="C65" t="s">
        <v>234</v>
      </c>
      <c r="D65" t="s">
        <v>234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62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1" customHeight="1">
      <c r="A5" s="115" t="s">
        <v>83</v>
      </c>
      <c r="B5" s="117" t="s">
        <v>84</v>
      </c>
      <c r="C5" s="119" t="s">
        <v>254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1264643.9099999999</v>
      </c>
      <c r="D8" s="89">
        <v>1218445.51</v>
      </c>
    </row>
    <row r="9" spans="1:4" ht="30">
      <c r="A9" s="12" t="s">
        <v>90</v>
      </c>
      <c r="B9" s="13" t="s">
        <v>91</v>
      </c>
      <c r="C9" s="14">
        <f>1112697.7</f>
        <v>1112697.7</v>
      </c>
      <c r="D9" s="90">
        <v>1112697.7</v>
      </c>
    </row>
    <row r="10" spans="1:4">
      <c r="A10" s="16" t="s">
        <v>92</v>
      </c>
      <c r="B10" s="17" t="s">
        <v>93</v>
      </c>
      <c r="C10" s="18">
        <f>691058.325652842</f>
        <v>691058.32565284194</v>
      </c>
      <c r="D10" s="91">
        <v>691031.12135176605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90"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91"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91"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91">
        <v>0</v>
      </c>
    </row>
    <row r="15" spans="1:4" ht="28.5">
      <c r="A15" s="8" t="s">
        <v>101</v>
      </c>
      <c r="B15" s="20" t="s">
        <v>102</v>
      </c>
      <c r="C15" s="14">
        <f>SUM(C16:C24)</f>
        <v>151946.21000000002</v>
      </c>
      <c r="D15" s="90">
        <v>105747.80999999998</v>
      </c>
    </row>
    <row r="16" spans="1:4">
      <c r="A16" s="22" t="s">
        <v>103</v>
      </c>
      <c r="B16" s="17" t="s">
        <v>104</v>
      </c>
      <c r="C16" s="111">
        <v>101208.72</v>
      </c>
      <c r="D16" s="113">
        <v>48592.79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25307.28</f>
        <v>25307.279999999999</v>
      </c>
      <c r="D18" s="91">
        <v>31724.57</v>
      </c>
    </row>
    <row r="19" spans="1:4">
      <c r="A19" s="22" t="s">
        <v>109</v>
      </c>
      <c r="B19" s="17" t="s">
        <v>110</v>
      </c>
      <c r="C19" s="18">
        <f>2961.6</f>
        <v>2961.6</v>
      </c>
      <c r="D19" s="91">
        <v>2963.58</v>
      </c>
    </row>
    <row r="20" spans="1:4">
      <c r="A20" s="22" t="s">
        <v>111</v>
      </c>
      <c r="B20" s="17" t="s">
        <v>112</v>
      </c>
      <c r="C20" s="18">
        <f>3957.72</f>
        <v>3957.72</v>
      </c>
      <c r="D20" s="91">
        <v>3955.98</v>
      </c>
    </row>
    <row r="21" spans="1:4">
      <c r="A21" s="22" t="s">
        <v>113</v>
      </c>
      <c r="B21" s="17" t="s">
        <v>114</v>
      </c>
      <c r="C21" s="18">
        <f>0</f>
        <v>0</v>
      </c>
      <c r="D21" s="91">
        <v>0</v>
      </c>
    </row>
    <row r="22" spans="1:4">
      <c r="A22" s="22" t="s">
        <v>115</v>
      </c>
      <c r="B22" s="17" t="s">
        <v>116</v>
      </c>
      <c r="C22" s="18">
        <f>18510.89</f>
        <v>18510.89</v>
      </c>
      <c r="D22" s="91">
        <v>18510.89</v>
      </c>
    </row>
    <row r="23" spans="1:4">
      <c r="A23" s="22" t="s">
        <v>117</v>
      </c>
      <c r="B23" s="17" t="s">
        <v>118</v>
      </c>
      <c r="C23" s="18">
        <f>0</f>
        <v>0</v>
      </c>
      <c r="D23" s="91"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91">
        <v>0</v>
      </c>
    </row>
    <row r="25" spans="1:4">
      <c r="A25" s="8" t="s">
        <v>121</v>
      </c>
      <c r="B25" s="9" t="s">
        <v>122</v>
      </c>
      <c r="C25" s="14">
        <f>C26+C27+C30+C28+C29+C31</f>
        <v>461300.47000000998</v>
      </c>
      <c r="D25" s="90">
        <v>265495.87</v>
      </c>
    </row>
    <row r="26" spans="1:4" ht="18" customHeight="1">
      <c r="A26" s="24" t="s">
        <v>123</v>
      </c>
      <c r="B26" s="20" t="s">
        <v>124</v>
      </c>
      <c r="C26" s="18">
        <f>134236.68</f>
        <v>134236.68</v>
      </c>
      <c r="D26" s="91">
        <v>134236.67000000001</v>
      </c>
    </row>
    <row r="27" spans="1:4" ht="33.75" customHeight="1">
      <c r="A27" s="24" t="s">
        <v>125</v>
      </c>
      <c r="B27" s="20" t="s">
        <v>126</v>
      </c>
      <c r="C27" s="18">
        <f>20119.2</f>
        <v>20119.2</v>
      </c>
      <c r="D27" s="91">
        <v>20111.849999999999</v>
      </c>
    </row>
    <row r="28" spans="1:4" ht="35.25" customHeight="1">
      <c r="A28" s="21" t="s">
        <v>127</v>
      </c>
      <c r="B28" s="20" t="s">
        <v>128</v>
      </c>
      <c r="C28" s="18">
        <f>0</f>
        <v>0</v>
      </c>
      <c r="D28" s="91">
        <v>0</v>
      </c>
    </row>
    <row r="29" spans="1:4">
      <c r="A29" s="21" t="s">
        <v>129</v>
      </c>
      <c r="B29" s="20" t="s">
        <v>130</v>
      </c>
      <c r="C29" s="18">
        <f>20639.16</f>
        <v>20639.16</v>
      </c>
      <c r="D29" s="91">
        <v>20458.63</v>
      </c>
    </row>
    <row r="30" spans="1:4">
      <c r="A30" s="21" t="s">
        <v>131</v>
      </c>
      <c r="B30" s="20" t="s">
        <v>132</v>
      </c>
      <c r="C30" s="18">
        <f>0</f>
        <v>0</v>
      </c>
      <c r="D30" s="91">
        <v>0</v>
      </c>
    </row>
    <row r="31" spans="1:4">
      <c r="A31" s="25" t="s">
        <v>133</v>
      </c>
      <c r="B31" s="20" t="s">
        <v>134</v>
      </c>
      <c r="C31" s="14">
        <f>SUM(C32:C39)</f>
        <v>286305.43000001</v>
      </c>
      <c r="D31" s="90">
        <v>90688.72</v>
      </c>
    </row>
    <row r="32" spans="1:4" ht="19.5" customHeight="1">
      <c r="A32" s="24" t="s">
        <v>135</v>
      </c>
      <c r="B32" s="17" t="s">
        <v>136</v>
      </c>
      <c r="C32" s="18">
        <f>30631.41</f>
        <v>30631.41</v>
      </c>
      <c r="D32" s="91">
        <v>30631.41</v>
      </c>
    </row>
    <row r="33" spans="1:4">
      <c r="A33" s="24" t="s">
        <v>137</v>
      </c>
      <c r="B33" s="17" t="s">
        <v>138</v>
      </c>
      <c r="C33" s="18">
        <f>27304.2</f>
        <v>27304.2</v>
      </c>
      <c r="D33" s="91">
        <v>16785.12</v>
      </c>
    </row>
    <row r="34" spans="1:4">
      <c r="A34" s="24" t="s">
        <v>139</v>
      </c>
      <c r="B34" s="17" t="s">
        <v>140</v>
      </c>
      <c r="C34" s="18">
        <f>22304.04</f>
        <v>22304.04</v>
      </c>
      <c r="D34" s="91">
        <v>22537.94</v>
      </c>
    </row>
    <row r="35" spans="1:4">
      <c r="A35" s="24" t="s">
        <v>141</v>
      </c>
      <c r="B35" s="17" t="s">
        <v>142</v>
      </c>
      <c r="C35" s="18">
        <f>0</f>
        <v>0</v>
      </c>
      <c r="D35" s="91"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91">
        <v>0</v>
      </c>
    </row>
    <row r="37" spans="1:4" ht="23.25" customHeight="1">
      <c r="A37" s="24" t="s">
        <v>145</v>
      </c>
      <c r="B37" s="17" t="s">
        <v>146</v>
      </c>
      <c r="C37" s="18">
        <f>0</f>
        <v>0</v>
      </c>
      <c r="D37" s="91"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91">
        <v>0</v>
      </c>
    </row>
    <row r="39" spans="1:4">
      <c r="A39" s="24" t="s">
        <v>149</v>
      </c>
      <c r="B39" s="17" t="s">
        <v>150</v>
      </c>
      <c r="C39" s="18">
        <f>206065.78000001</f>
        <v>206065.78000001001</v>
      </c>
      <c r="D39" s="91">
        <v>20734.25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92">
        <v>0</v>
      </c>
    </row>
    <row r="41" spans="1:4" ht="19.5" customHeight="1">
      <c r="A41" s="8" t="s">
        <v>153</v>
      </c>
      <c r="B41" s="9" t="s">
        <v>154</v>
      </c>
      <c r="C41" s="26">
        <f>0</f>
        <v>0</v>
      </c>
      <c r="D41" s="92"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92"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92"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92">
        <v>0</v>
      </c>
    </row>
    <row r="45" spans="1:4">
      <c r="A45" s="8" t="s">
        <v>161</v>
      </c>
      <c r="B45" s="9" t="s">
        <v>162</v>
      </c>
      <c r="C45" s="26">
        <f>SUM(C46:C48)</f>
        <v>31439.06</v>
      </c>
      <c r="D45" s="92">
        <v>234184.87000000002</v>
      </c>
    </row>
    <row r="46" spans="1:4">
      <c r="A46" s="21" t="s">
        <v>163</v>
      </c>
      <c r="B46" s="17" t="s">
        <v>164</v>
      </c>
      <c r="C46" s="18">
        <f>11960.4</f>
        <v>11960.4</v>
      </c>
      <c r="D46" s="91">
        <v>13250.48</v>
      </c>
    </row>
    <row r="47" spans="1:4">
      <c r="A47" s="21" t="s">
        <v>149</v>
      </c>
      <c r="B47" s="17" t="s">
        <v>165</v>
      </c>
      <c r="C47" s="18">
        <f>19038.5</f>
        <v>19038.5</v>
      </c>
      <c r="D47" s="91">
        <v>220494.23</v>
      </c>
    </row>
    <row r="48" spans="1:4">
      <c r="A48" s="21" t="s">
        <v>166</v>
      </c>
      <c r="B48" s="17" t="s">
        <v>167</v>
      </c>
      <c r="C48" s="18">
        <f>440.16</f>
        <v>440.16</v>
      </c>
      <c r="D48" s="91">
        <v>440.16</v>
      </c>
    </row>
    <row r="49" spans="1:4">
      <c r="A49" s="8" t="s">
        <v>440</v>
      </c>
      <c r="B49" s="28" t="s">
        <v>168</v>
      </c>
      <c r="C49" s="29">
        <f>139515.84</f>
        <v>139515.84</v>
      </c>
      <c r="D49" s="93">
        <v>178773.03</v>
      </c>
    </row>
    <row r="50" spans="1:4">
      <c r="A50" s="8" t="s">
        <v>169</v>
      </c>
      <c r="B50" s="9" t="s">
        <v>170</v>
      </c>
      <c r="C50" s="14">
        <f>C8+C25+C40+C41+C42+C43+C44+C45+C49+C51+C52</f>
        <v>1896899.28000001</v>
      </c>
      <c r="D50" s="15">
        <f>D8+D25+D40+D41+D42+D43+D44+D45+D49+D51+D52</f>
        <v>1896899.28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1102799.94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1102799.94</f>
        <v>1102799.94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0</f>
        <v>0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610524</f>
        <v>610524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1713323.94</v>
      </c>
      <c r="D59" s="27">
        <f>D54+D57+D58</f>
        <v>0</v>
      </c>
    </row>
    <row r="60" spans="1:4" ht="25.5">
      <c r="A60" s="33" t="s">
        <v>188</v>
      </c>
      <c r="B60" s="9"/>
      <c r="C60" s="34">
        <v>7041.2</v>
      </c>
      <c r="D60" s="35">
        <v>7041.2</v>
      </c>
    </row>
    <row r="61" spans="1:4" ht="15.75" thickBot="1">
      <c r="A61" s="36" t="s">
        <v>189</v>
      </c>
      <c r="B61" s="37"/>
      <c r="C61" s="38">
        <f>(C50+C51+C52)/C60/12</f>
        <v>22.45000000000012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232</v>
      </c>
      <c r="D7" t="s">
        <v>232</v>
      </c>
    </row>
    <row r="8" spans="3:4">
      <c r="C8" t="s">
        <v>232</v>
      </c>
      <c r="D8" t="s">
        <v>232</v>
      </c>
    </row>
    <row r="9" spans="3:4">
      <c r="C9" t="s">
        <v>232</v>
      </c>
      <c r="D9" t="s">
        <v>232</v>
      </c>
    </row>
    <row r="10" spans="3:4">
      <c r="C10" t="s">
        <v>232</v>
      </c>
      <c r="D10" t="s">
        <v>232</v>
      </c>
    </row>
    <row r="11" spans="3:4">
      <c r="C11" t="s">
        <v>232</v>
      </c>
      <c r="D11" t="s">
        <v>232</v>
      </c>
    </row>
    <row r="12" spans="3:4">
      <c r="C12" t="s">
        <v>232</v>
      </c>
      <c r="D12" t="s">
        <v>232</v>
      </c>
    </row>
    <row r="13" spans="3:4">
      <c r="C13" t="s">
        <v>232</v>
      </c>
      <c r="D13" t="s">
        <v>232</v>
      </c>
    </row>
    <row r="14" spans="3:4">
      <c r="C14" t="s">
        <v>232</v>
      </c>
      <c r="D14" t="s">
        <v>232</v>
      </c>
    </row>
    <row r="15" spans="3:4">
      <c r="C15" t="s">
        <v>232</v>
      </c>
      <c r="D15" t="s">
        <v>232</v>
      </c>
    </row>
    <row r="16" spans="3:4">
      <c r="C16" t="s">
        <v>232</v>
      </c>
      <c r="D16" t="s">
        <v>232</v>
      </c>
    </row>
    <row r="17" spans="3:4">
      <c r="C17" t="s">
        <v>232</v>
      </c>
      <c r="D17" t="s">
        <v>232</v>
      </c>
    </row>
    <row r="18" spans="3:4">
      <c r="C18" t="s">
        <v>232</v>
      </c>
      <c r="D18" t="s">
        <v>232</v>
      </c>
    </row>
    <row r="19" spans="3:4">
      <c r="C19" t="s">
        <v>232</v>
      </c>
      <c r="D19" t="s">
        <v>232</v>
      </c>
    </row>
    <row r="20" spans="3:4">
      <c r="C20" t="s">
        <v>232</v>
      </c>
      <c r="D20" t="s">
        <v>232</v>
      </c>
    </row>
    <row r="21" spans="3:4">
      <c r="C21" t="s">
        <v>232</v>
      </c>
      <c r="D21" t="s">
        <v>232</v>
      </c>
    </row>
    <row r="22" spans="3:4">
      <c r="C22" t="s">
        <v>232</v>
      </c>
      <c r="D22" t="s">
        <v>232</v>
      </c>
    </row>
    <row r="23" spans="3:4">
      <c r="C23" t="s">
        <v>232</v>
      </c>
      <c r="D23" t="s">
        <v>232</v>
      </c>
    </row>
    <row r="24" spans="3:4">
      <c r="C24" t="s">
        <v>232</v>
      </c>
      <c r="D24" t="s">
        <v>232</v>
      </c>
    </row>
    <row r="25" spans="3:4">
      <c r="C25" t="s">
        <v>232</v>
      </c>
      <c r="D25" t="s">
        <v>232</v>
      </c>
    </row>
    <row r="26" spans="3:4">
      <c r="C26" t="s">
        <v>232</v>
      </c>
      <c r="D26" t="s">
        <v>232</v>
      </c>
    </row>
    <row r="27" spans="3:4">
      <c r="C27" t="s">
        <v>232</v>
      </c>
      <c r="D27" t="s">
        <v>232</v>
      </c>
    </row>
    <row r="28" spans="3:4">
      <c r="C28" t="s">
        <v>232</v>
      </c>
      <c r="D28" t="s">
        <v>232</v>
      </c>
    </row>
    <row r="29" spans="3:4">
      <c r="C29" t="s">
        <v>232</v>
      </c>
      <c r="D29" t="s">
        <v>232</v>
      </c>
    </row>
    <row r="30" spans="3:4">
      <c r="C30" t="s">
        <v>232</v>
      </c>
      <c r="D30" t="s">
        <v>232</v>
      </c>
    </row>
    <row r="31" spans="3:4">
      <c r="C31" t="s">
        <v>232</v>
      </c>
      <c r="D31" t="s">
        <v>232</v>
      </c>
    </row>
    <row r="32" spans="3:4">
      <c r="C32" t="s">
        <v>232</v>
      </c>
      <c r="D32" t="s">
        <v>232</v>
      </c>
    </row>
    <row r="33" spans="3:4">
      <c r="C33" t="s">
        <v>232</v>
      </c>
      <c r="D33" t="s">
        <v>232</v>
      </c>
    </row>
    <row r="34" spans="3:4">
      <c r="C34" t="s">
        <v>232</v>
      </c>
      <c r="D34" t="s">
        <v>232</v>
      </c>
    </row>
    <row r="35" spans="3:4">
      <c r="C35" t="s">
        <v>232</v>
      </c>
      <c r="D35" t="s">
        <v>232</v>
      </c>
    </row>
    <row r="36" spans="3:4">
      <c r="C36" t="s">
        <v>232</v>
      </c>
      <c r="D36" t="s">
        <v>232</v>
      </c>
    </row>
    <row r="37" spans="3:4">
      <c r="C37" t="s">
        <v>232</v>
      </c>
      <c r="D37" t="s">
        <v>232</v>
      </c>
    </row>
    <row r="38" spans="3:4">
      <c r="C38" t="s">
        <v>232</v>
      </c>
      <c r="D38" t="s">
        <v>232</v>
      </c>
    </row>
    <row r="39" spans="3:4">
      <c r="C39" t="s">
        <v>232</v>
      </c>
      <c r="D39" t="s">
        <v>232</v>
      </c>
    </row>
    <row r="40" spans="3:4">
      <c r="C40" t="s">
        <v>232</v>
      </c>
      <c r="D40" t="s">
        <v>232</v>
      </c>
    </row>
    <row r="41" spans="3:4">
      <c r="C41" t="s">
        <v>232</v>
      </c>
      <c r="D41" t="s">
        <v>232</v>
      </c>
    </row>
    <row r="42" spans="3:4">
      <c r="C42" t="s">
        <v>232</v>
      </c>
      <c r="D42" t="s">
        <v>232</v>
      </c>
    </row>
    <row r="43" spans="3:4">
      <c r="C43" t="s">
        <v>232</v>
      </c>
      <c r="D43" t="s">
        <v>232</v>
      </c>
    </row>
    <row r="44" spans="3:4">
      <c r="C44" t="s">
        <v>232</v>
      </c>
      <c r="D44" t="s">
        <v>232</v>
      </c>
    </row>
    <row r="45" spans="3:4">
      <c r="C45" t="s">
        <v>232</v>
      </c>
      <c r="D45" t="s">
        <v>232</v>
      </c>
    </row>
    <row r="46" spans="3:4">
      <c r="C46" t="s">
        <v>232</v>
      </c>
      <c r="D46" t="s">
        <v>232</v>
      </c>
    </row>
    <row r="47" spans="3:4">
      <c r="C47" t="s">
        <v>232</v>
      </c>
      <c r="D47" t="s">
        <v>232</v>
      </c>
    </row>
    <row r="48" spans="3:4">
      <c r="C48" t="s">
        <v>232</v>
      </c>
      <c r="D48" t="s">
        <v>232</v>
      </c>
    </row>
    <row r="49" spans="3:4">
      <c r="C49" t="s">
        <v>232</v>
      </c>
      <c r="D49" t="s">
        <v>232</v>
      </c>
    </row>
    <row r="50" spans="3:4">
      <c r="C50" t="s">
        <v>232</v>
      </c>
      <c r="D50" t="s">
        <v>232</v>
      </c>
    </row>
    <row r="51" spans="3:4">
      <c r="C51" t="s">
        <v>232</v>
      </c>
      <c r="D51" t="s">
        <v>232</v>
      </c>
    </row>
    <row r="52" spans="3:4">
      <c r="C52" t="s">
        <v>232</v>
      </c>
      <c r="D52" t="s">
        <v>232</v>
      </c>
    </row>
    <row r="53" spans="3:4">
      <c r="C53" t="s">
        <v>232</v>
      </c>
      <c r="D53" t="s">
        <v>232</v>
      </c>
    </row>
    <row r="54" spans="3:4">
      <c r="C54" t="s">
        <v>232</v>
      </c>
      <c r="D54" t="s">
        <v>232</v>
      </c>
    </row>
    <row r="55" spans="3:4">
      <c r="C55" t="s">
        <v>232</v>
      </c>
      <c r="D55" t="s">
        <v>232</v>
      </c>
    </row>
    <row r="56" spans="3:4">
      <c r="C56" t="s">
        <v>232</v>
      </c>
      <c r="D56" t="s">
        <v>232</v>
      </c>
    </row>
    <row r="57" spans="3:4">
      <c r="C57" t="s">
        <v>232</v>
      </c>
      <c r="D57" t="s">
        <v>232</v>
      </c>
    </row>
    <row r="58" spans="3:4">
      <c r="C58" t="s">
        <v>232</v>
      </c>
      <c r="D58" t="s">
        <v>232</v>
      </c>
    </row>
    <row r="59" spans="3:4">
      <c r="C59" t="s">
        <v>232</v>
      </c>
      <c r="D59" t="s">
        <v>232</v>
      </c>
    </row>
    <row r="60" spans="3:4">
      <c r="C60" t="s">
        <v>232</v>
      </c>
      <c r="D60" t="s">
        <v>232</v>
      </c>
    </row>
    <row r="61" spans="3:4">
      <c r="C61" t="s">
        <v>232</v>
      </c>
      <c r="D61" t="s">
        <v>232</v>
      </c>
    </row>
    <row r="62" spans="3:4">
      <c r="C62" t="s">
        <v>232</v>
      </c>
      <c r="D62" t="s">
        <v>232</v>
      </c>
    </row>
    <row r="63" spans="3:4">
      <c r="C63" t="s">
        <v>232</v>
      </c>
      <c r="D63" t="s">
        <v>232</v>
      </c>
    </row>
    <row r="64" spans="3:4">
      <c r="C64" t="s">
        <v>232</v>
      </c>
      <c r="D64" t="s">
        <v>232</v>
      </c>
    </row>
    <row r="65" spans="3:4">
      <c r="C65" t="s">
        <v>232</v>
      </c>
      <c r="D65" t="s">
        <v>232</v>
      </c>
    </row>
  </sheetData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230</v>
      </c>
      <c r="D7" t="s">
        <v>230</v>
      </c>
    </row>
    <row r="8" spans="3:4">
      <c r="C8" t="s">
        <v>230</v>
      </c>
      <c r="D8" t="s">
        <v>230</v>
      </c>
    </row>
    <row r="9" spans="3:4">
      <c r="C9" t="s">
        <v>230</v>
      </c>
      <c r="D9" t="s">
        <v>230</v>
      </c>
    </row>
    <row r="10" spans="3:4">
      <c r="C10" t="s">
        <v>230</v>
      </c>
      <c r="D10" t="s">
        <v>230</v>
      </c>
    </row>
    <row r="11" spans="3:4">
      <c r="C11" t="s">
        <v>230</v>
      </c>
      <c r="D11" t="s">
        <v>230</v>
      </c>
    </row>
    <row r="12" spans="3:4">
      <c r="C12" t="s">
        <v>230</v>
      </c>
      <c r="D12" t="s">
        <v>230</v>
      </c>
    </row>
    <row r="13" spans="3:4">
      <c r="C13" t="s">
        <v>230</v>
      </c>
      <c r="D13" t="s">
        <v>230</v>
      </c>
    </row>
    <row r="14" spans="3:4">
      <c r="C14" t="s">
        <v>230</v>
      </c>
      <c r="D14" t="s">
        <v>230</v>
      </c>
    </row>
    <row r="15" spans="3:4">
      <c r="C15" t="s">
        <v>230</v>
      </c>
      <c r="D15" t="s">
        <v>230</v>
      </c>
    </row>
    <row r="16" spans="3:4">
      <c r="C16" t="s">
        <v>230</v>
      </c>
      <c r="D16" t="s">
        <v>230</v>
      </c>
    </row>
    <row r="17" spans="3:4">
      <c r="C17" t="s">
        <v>230</v>
      </c>
      <c r="D17" t="s">
        <v>230</v>
      </c>
    </row>
    <row r="18" spans="3:4">
      <c r="C18" t="s">
        <v>230</v>
      </c>
      <c r="D18" t="s">
        <v>230</v>
      </c>
    </row>
    <row r="19" spans="3:4">
      <c r="C19" t="s">
        <v>230</v>
      </c>
      <c r="D19" t="s">
        <v>230</v>
      </c>
    </row>
    <row r="20" spans="3:4">
      <c r="C20" t="s">
        <v>230</v>
      </c>
      <c r="D20" t="s">
        <v>230</v>
      </c>
    </row>
    <row r="21" spans="3:4">
      <c r="C21" t="s">
        <v>230</v>
      </c>
      <c r="D21" t="s">
        <v>230</v>
      </c>
    </row>
    <row r="22" spans="3:4">
      <c r="C22" t="s">
        <v>230</v>
      </c>
      <c r="D22" t="s">
        <v>230</v>
      </c>
    </row>
    <row r="23" spans="3:4">
      <c r="C23" t="s">
        <v>230</v>
      </c>
      <c r="D23" t="s">
        <v>230</v>
      </c>
    </row>
    <row r="24" spans="3:4">
      <c r="C24" t="s">
        <v>230</v>
      </c>
      <c r="D24" t="s">
        <v>230</v>
      </c>
    </row>
    <row r="25" spans="3:4">
      <c r="C25" t="s">
        <v>230</v>
      </c>
      <c r="D25" t="s">
        <v>230</v>
      </c>
    </row>
    <row r="26" spans="3:4">
      <c r="C26" t="s">
        <v>230</v>
      </c>
      <c r="D26" t="s">
        <v>230</v>
      </c>
    </row>
    <row r="27" spans="3:4">
      <c r="C27" t="s">
        <v>230</v>
      </c>
      <c r="D27" t="s">
        <v>230</v>
      </c>
    </row>
    <row r="28" spans="3:4">
      <c r="C28" t="s">
        <v>230</v>
      </c>
      <c r="D28" t="s">
        <v>230</v>
      </c>
    </row>
    <row r="29" spans="3:4">
      <c r="C29" t="s">
        <v>230</v>
      </c>
      <c r="D29" t="s">
        <v>230</v>
      </c>
    </row>
    <row r="30" spans="3:4">
      <c r="C30" t="s">
        <v>230</v>
      </c>
      <c r="D30" t="s">
        <v>230</v>
      </c>
    </row>
    <row r="31" spans="3:4">
      <c r="C31" t="s">
        <v>230</v>
      </c>
      <c r="D31" t="s">
        <v>230</v>
      </c>
    </row>
    <row r="32" spans="3:4">
      <c r="C32" t="s">
        <v>230</v>
      </c>
      <c r="D32" t="s">
        <v>230</v>
      </c>
    </row>
    <row r="33" spans="3:4">
      <c r="C33" t="s">
        <v>230</v>
      </c>
      <c r="D33" t="s">
        <v>230</v>
      </c>
    </row>
    <row r="34" spans="3:4">
      <c r="C34" t="s">
        <v>230</v>
      </c>
      <c r="D34" t="s">
        <v>230</v>
      </c>
    </row>
    <row r="35" spans="3:4">
      <c r="C35" t="s">
        <v>230</v>
      </c>
      <c r="D35" t="s">
        <v>230</v>
      </c>
    </row>
    <row r="36" spans="3:4">
      <c r="C36" t="s">
        <v>230</v>
      </c>
      <c r="D36" t="s">
        <v>230</v>
      </c>
    </row>
    <row r="37" spans="3:4">
      <c r="C37" t="s">
        <v>230</v>
      </c>
      <c r="D37" t="s">
        <v>230</v>
      </c>
    </row>
    <row r="38" spans="3:4">
      <c r="C38" t="s">
        <v>230</v>
      </c>
      <c r="D38" t="s">
        <v>230</v>
      </c>
    </row>
    <row r="39" spans="3:4">
      <c r="C39" t="s">
        <v>230</v>
      </c>
      <c r="D39" t="s">
        <v>230</v>
      </c>
    </row>
    <row r="40" spans="3:4">
      <c r="C40" t="s">
        <v>230</v>
      </c>
      <c r="D40" t="s">
        <v>230</v>
      </c>
    </row>
    <row r="41" spans="3:4">
      <c r="C41" t="s">
        <v>230</v>
      </c>
      <c r="D41" t="s">
        <v>230</v>
      </c>
    </row>
    <row r="42" spans="3:4">
      <c r="C42" t="s">
        <v>230</v>
      </c>
      <c r="D42" t="s">
        <v>230</v>
      </c>
    </row>
    <row r="43" spans="3:4">
      <c r="C43" t="s">
        <v>230</v>
      </c>
      <c r="D43" t="s">
        <v>230</v>
      </c>
    </row>
    <row r="44" spans="3:4">
      <c r="C44" t="s">
        <v>230</v>
      </c>
      <c r="D44" t="s">
        <v>230</v>
      </c>
    </row>
    <row r="45" spans="3:4">
      <c r="C45" t="s">
        <v>230</v>
      </c>
      <c r="D45" t="s">
        <v>230</v>
      </c>
    </row>
    <row r="46" spans="3:4">
      <c r="C46" t="s">
        <v>230</v>
      </c>
      <c r="D46" t="s">
        <v>230</v>
      </c>
    </row>
    <row r="47" spans="3:4">
      <c r="C47" t="s">
        <v>230</v>
      </c>
      <c r="D47" t="s">
        <v>230</v>
      </c>
    </row>
    <row r="48" spans="3:4">
      <c r="C48" t="s">
        <v>230</v>
      </c>
      <c r="D48" t="s">
        <v>230</v>
      </c>
    </row>
    <row r="49" spans="3:4">
      <c r="C49" t="s">
        <v>230</v>
      </c>
      <c r="D49" t="s">
        <v>230</v>
      </c>
    </row>
    <row r="50" spans="3:4">
      <c r="C50" t="s">
        <v>230</v>
      </c>
      <c r="D50" t="s">
        <v>230</v>
      </c>
    </row>
    <row r="51" spans="3:4">
      <c r="C51" t="s">
        <v>230</v>
      </c>
      <c r="D51" t="s">
        <v>230</v>
      </c>
    </row>
    <row r="52" spans="3:4">
      <c r="C52" t="s">
        <v>230</v>
      </c>
      <c r="D52" t="s">
        <v>230</v>
      </c>
    </row>
    <row r="53" spans="3:4">
      <c r="C53" t="s">
        <v>230</v>
      </c>
      <c r="D53" t="s">
        <v>230</v>
      </c>
    </row>
    <row r="54" spans="3:4">
      <c r="C54" t="s">
        <v>230</v>
      </c>
      <c r="D54" t="s">
        <v>230</v>
      </c>
    </row>
    <row r="55" spans="3:4">
      <c r="C55" t="s">
        <v>230</v>
      </c>
      <c r="D55" t="s">
        <v>230</v>
      </c>
    </row>
    <row r="56" spans="3:4">
      <c r="C56" t="s">
        <v>230</v>
      </c>
      <c r="D56" t="s">
        <v>230</v>
      </c>
    </row>
    <row r="57" spans="3:4">
      <c r="C57" t="s">
        <v>230</v>
      </c>
      <c r="D57" t="s">
        <v>230</v>
      </c>
    </row>
    <row r="58" spans="3:4">
      <c r="C58" t="s">
        <v>230</v>
      </c>
      <c r="D58" t="s">
        <v>230</v>
      </c>
    </row>
    <row r="59" spans="3:4">
      <c r="C59" t="s">
        <v>230</v>
      </c>
      <c r="D59" t="s">
        <v>230</v>
      </c>
    </row>
    <row r="60" spans="3:4">
      <c r="C60" t="s">
        <v>230</v>
      </c>
      <c r="D60" t="s">
        <v>230</v>
      </c>
    </row>
    <row r="61" spans="3:4">
      <c r="C61" t="s">
        <v>230</v>
      </c>
      <c r="D61" t="s">
        <v>230</v>
      </c>
    </row>
    <row r="62" spans="3:4">
      <c r="C62" t="s">
        <v>230</v>
      </c>
      <c r="D62" t="s">
        <v>230</v>
      </c>
    </row>
    <row r="63" spans="3:4">
      <c r="C63" t="s">
        <v>230</v>
      </c>
      <c r="D63" t="s">
        <v>230</v>
      </c>
    </row>
    <row r="64" spans="3:4">
      <c r="C64" t="s">
        <v>230</v>
      </c>
      <c r="D64" t="s">
        <v>230</v>
      </c>
    </row>
    <row r="65" spans="3:4">
      <c r="C65" t="s">
        <v>230</v>
      </c>
      <c r="D65" t="s">
        <v>230</v>
      </c>
    </row>
  </sheetData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229</v>
      </c>
      <c r="D7" t="s">
        <v>229</v>
      </c>
    </row>
    <row r="8" spans="3:4">
      <c r="C8" t="s">
        <v>229</v>
      </c>
      <c r="D8" t="s">
        <v>229</v>
      </c>
    </row>
    <row r="9" spans="3:4">
      <c r="C9" t="s">
        <v>229</v>
      </c>
      <c r="D9" t="s">
        <v>229</v>
      </c>
    </row>
    <row r="10" spans="3:4">
      <c r="C10" t="s">
        <v>229</v>
      </c>
      <c r="D10" t="s">
        <v>229</v>
      </c>
    </row>
    <row r="11" spans="3:4">
      <c r="C11" t="s">
        <v>229</v>
      </c>
      <c r="D11" t="s">
        <v>229</v>
      </c>
    </row>
    <row r="12" spans="3:4">
      <c r="C12" t="s">
        <v>229</v>
      </c>
      <c r="D12" t="s">
        <v>229</v>
      </c>
    </row>
    <row r="13" spans="3:4">
      <c r="C13" t="s">
        <v>229</v>
      </c>
      <c r="D13" t="s">
        <v>229</v>
      </c>
    </row>
    <row r="14" spans="3:4">
      <c r="C14" t="s">
        <v>229</v>
      </c>
      <c r="D14" t="s">
        <v>229</v>
      </c>
    </row>
    <row r="15" spans="3:4">
      <c r="C15" t="s">
        <v>229</v>
      </c>
      <c r="D15" t="s">
        <v>229</v>
      </c>
    </row>
    <row r="16" spans="3:4">
      <c r="C16" t="s">
        <v>229</v>
      </c>
      <c r="D16" t="s">
        <v>229</v>
      </c>
    </row>
    <row r="17" spans="3:4">
      <c r="C17" t="s">
        <v>229</v>
      </c>
      <c r="D17" t="s">
        <v>229</v>
      </c>
    </row>
    <row r="18" spans="3:4">
      <c r="C18" t="s">
        <v>229</v>
      </c>
      <c r="D18" t="s">
        <v>229</v>
      </c>
    </row>
    <row r="19" spans="3:4">
      <c r="C19" t="s">
        <v>229</v>
      </c>
      <c r="D19" t="s">
        <v>229</v>
      </c>
    </row>
    <row r="20" spans="3:4">
      <c r="C20" t="s">
        <v>229</v>
      </c>
      <c r="D20" t="s">
        <v>229</v>
      </c>
    </row>
    <row r="21" spans="3:4">
      <c r="C21" t="s">
        <v>229</v>
      </c>
      <c r="D21" t="s">
        <v>229</v>
      </c>
    </row>
    <row r="22" spans="3:4">
      <c r="C22" t="s">
        <v>229</v>
      </c>
      <c r="D22" t="s">
        <v>229</v>
      </c>
    </row>
    <row r="23" spans="3:4">
      <c r="C23" t="s">
        <v>229</v>
      </c>
      <c r="D23" t="s">
        <v>229</v>
      </c>
    </row>
    <row r="24" spans="3:4">
      <c r="C24" t="s">
        <v>229</v>
      </c>
      <c r="D24" t="s">
        <v>229</v>
      </c>
    </row>
    <row r="25" spans="3:4">
      <c r="C25" t="s">
        <v>229</v>
      </c>
      <c r="D25" t="s">
        <v>229</v>
      </c>
    </row>
    <row r="26" spans="3:4">
      <c r="C26" t="s">
        <v>229</v>
      </c>
      <c r="D26" t="s">
        <v>229</v>
      </c>
    </row>
    <row r="27" spans="3:4">
      <c r="C27" t="s">
        <v>229</v>
      </c>
      <c r="D27" t="s">
        <v>229</v>
      </c>
    </row>
    <row r="28" spans="3:4">
      <c r="C28" t="s">
        <v>229</v>
      </c>
      <c r="D28" t="s">
        <v>229</v>
      </c>
    </row>
    <row r="29" spans="3:4">
      <c r="C29" t="s">
        <v>229</v>
      </c>
      <c r="D29" t="s">
        <v>229</v>
      </c>
    </row>
    <row r="30" spans="3:4">
      <c r="C30" t="s">
        <v>229</v>
      </c>
      <c r="D30" t="s">
        <v>229</v>
      </c>
    </row>
    <row r="31" spans="3:4">
      <c r="C31" t="s">
        <v>229</v>
      </c>
      <c r="D31" t="s">
        <v>229</v>
      </c>
    </row>
    <row r="32" spans="3:4">
      <c r="C32" t="s">
        <v>229</v>
      </c>
      <c r="D32" t="s">
        <v>229</v>
      </c>
    </row>
    <row r="33" spans="3:4">
      <c r="C33" t="s">
        <v>229</v>
      </c>
      <c r="D33" t="s">
        <v>229</v>
      </c>
    </row>
    <row r="34" spans="3:4">
      <c r="C34" t="s">
        <v>229</v>
      </c>
      <c r="D34" t="s">
        <v>229</v>
      </c>
    </row>
    <row r="35" spans="3:4">
      <c r="C35" t="s">
        <v>229</v>
      </c>
      <c r="D35" t="s">
        <v>229</v>
      </c>
    </row>
    <row r="36" spans="3:4">
      <c r="C36" t="s">
        <v>229</v>
      </c>
      <c r="D36" t="s">
        <v>229</v>
      </c>
    </row>
    <row r="37" spans="3:4">
      <c r="C37" t="s">
        <v>229</v>
      </c>
      <c r="D37" t="s">
        <v>229</v>
      </c>
    </row>
    <row r="38" spans="3:4">
      <c r="C38" t="s">
        <v>229</v>
      </c>
      <c r="D38" t="s">
        <v>229</v>
      </c>
    </row>
    <row r="39" spans="3:4">
      <c r="C39" t="s">
        <v>229</v>
      </c>
      <c r="D39" t="s">
        <v>229</v>
      </c>
    </row>
    <row r="40" spans="3:4">
      <c r="C40" t="s">
        <v>229</v>
      </c>
      <c r="D40" t="s">
        <v>229</v>
      </c>
    </row>
    <row r="41" spans="3:4">
      <c r="C41" t="s">
        <v>229</v>
      </c>
      <c r="D41" t="s">
        <v>229</v>
      </c>
    </row>
    <row r="42" spans="3:4">
      <c r="C42" t="s">
        <v>229</v>
      </c>
      <c r="D42" t="s">
        <v>229</v>
      </c>
    </row>
    <row r="43" spans="3:4">
      <c r="C43" t="s">
        <v>229</v>
      </c>
      <c r="D43" t="s">
        <v>229</v>
      </c>
    </row>
    <row r="44" spans="3:4">
      <c r="C44" t="s">
        <v>229</v>
      </c>
      <c r="D44" t="s">
        <v>229</v>
      </c>
    </row>
    <row r="45" spans="3:4">
      <c r="C45" t="s">
        <v>229</v>
      </c>
      <c r="D45" t="s">
        <v>229</v>
      </c>
    </row>
    <row r="46" spans="3:4">
      <c r="C46" t="s">
        <v>229</v>
      </c>
      <c r="D46" t="s">
        <v>229</v>
      </c>
    </row>
    <row r="47" spans="3:4">
      <c r="C47" t="s">
        <v>229</v>
      </c>
      <c r="D47" t="s">
        <v>229</v>
      </c>
    </row>
    <row r="48" spans="3:4">
      <c r="C48" t="s">
        <v>229</v>
      </c>
      <c r="D48" t="s">
        <v>229</v>
      </c>
    </row>
    <row r="49" spans="3:4">
      <c r="C49" t="s">
        <v>229</v>
      </c>
      <c r="D49" t="s">
        <v>229</v>
      </c>
    </row>
    <row r="50" spans="3:4">
      <c r="C50" t="s">
        <v>229</v>
      </c>
      <c r="D50" t="s">
        <v>229</v>
      </c>
    </row>
    <row r="51" spans="3:4">
      <c r="C51" t="s">
        <v>229</v>
      </c>
      <c r="D51" t="s">
        <v>229</v>
      </c>
    </row>
    <row r="52" spans="3:4">
      <c r="C52" t="s">
        <v>229</v>
      </c>
      <c r="D52" t="s">
        <v>229</v>
      </c>
    </row>
    <row r="53" spans="3:4">
      <c r="C53" t="s">
        <v>229</v>
      </c>
      <c r="D53" t="s">
        <v>229</v>
      </c>
    </row>
    <row r="54" spans="3:4">
      <c r="C54" t="s">
        <v>229</v>
      </c>
      <c r="D54" t="s">
        <v>229</v>
      </c>
    </row>
    <row r="55" spans="3:4">
      <c r="C55" t="s">
        <v>229</v>
      </c>
      <c r="D55" t="s">
        <v>229</v>
      </c>
    </row>
    <row r="56" spans="3:4">
      <c r="C56" t="s">
        <v>229</v>
      </c>
      <c r="D56" t="s">
        <v>229</v>
      </c>
    </row>
    <row r="57" spans="3:4">
      <c r="C57" t="s">
        <v>229</v>
      </c>
      <c r="D57" t="s">
        <v>229</v>
      </c>
    </row>
    <row r="58" spans="3:4">
      <c r="C58" t="s">
        <v>229</v>
      </c>
      <c r="D58" t="s">
        <v>229</v>
      </c>
    </row>
    <row r="59" spans="3:4">
      <c r="C59" t="s">
        <v>229</v>
      </c>
      <c r="D59" t="s">
        <v>229</v>
      </c>
    </row>
    <row r="60" spans="3:4">
      <c r="C60" t="s">
        <v>229</v>
      </c>
      <c r="D60" t="s">
        <v>229</v>
      </c>
    </row>
    <row r="61" spans="3:4">
      <c r="C61" t="s">
        <v>229</v>
      </c>
      <c r="D61" t="s">
        <v>229</v>
      </c>
    </row>
    <row r="62" spans="3:4">
      <c r="C62" t="s">
        <v>229</v>
      </c>
      <c r="D62" t="s">
        <v>229</v>
      </c>
    </row>
    <row r="63" spans="3:4">
      <c r="C63" t="s">
        <v>229</v>
      </c>
      <c r="D63" t="s">
        <v>229</v>
      </c>
    </row>
    <row r="64" spans="3:4">
      <c r="C64" t="s">
        <v>229</v>
      </c>
      <c r="D64" t="s">
        <v>229</v>
      </c>
    </row>
    <row r="65" spans="3:4">
      <c r="C65" t="s">
        <v>229</v>
      </c>
      <c r="D65" t="s">
        <v>229</v>
      </c>
    </row>
  </sheetData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227</v>
      </c>
      <c r="D7" t="s">
        <v>227</v>
      </c>
    </row>
    <row r="8" spans="3:4">
      <c r="C8" t="s">
        <v>227</v>
      </c>
      <c r="D8" t="s">
        <v>227</v>
      </c>
    </row>
    <row r="9" spans="3:4">
      <c r="C9" t="s">
        <v>227</v>
      </c>
      <c r="D9" t="s">
        <v>227</v>
      </c>
    </row>
    <row r="10" spans="3:4">
      <c r="C10" t="s">
        <v>227</v>
      </c>
      <c r="D10" t="s">
        <v>227</v>
      </c>
    </row>
    <row r="11" spans="3:4">
      <c r="C11" t="s">
        <v>227</v>
      </c>
      <c r="D11" t="s">
        <v>227</v>
      </c>
    </row>
    <row r="12" spans="3:4">
      <c r="C12" t="s">
        <v>227</v>
      </c>
      <c r="D12" t="s">
        <v>227</v>
      </c>
    </row>
    <row r="13" spans="3:4">
      <c r="C13" t="s">
        <v>227</v>
      </c>
      <c r="D13" t="s">
        <v>227</v>
      </c>
    </row>
    <row r="14" spans="3:4">
      <c r="C14" t="s">
        <v>227</v>
      </c>
      <c r="D14" t="s">
        <v>227</v>
      </c>
    </row>
    <row r="15" spans="3:4">
      <c r="C15" t="s">
        <v>227</v>
      </c>
      <c r="D15" t="s">
        <v>227</v>
      </c>
    </row>
    <row r="16" spans="3:4">
      <c r="C16" t="s">
        <v>227</v>
      </c>
      <c r="D16" t="s">
        <v>227</v>
      </c>
    </row>
    <row r="17" spans="3:4">
      <c r="C17" t="s">
        <v>227</v>
      </c>
      <c r="D17" t="s">
        <v>227</v>
      </c>
    </row>
    <row r="18" spans="3:4">
      <c r="C18" t="s">
        <v>227</v>
      </c>
      <c r="D18" t="s">
        <v>227</v>
      </c>
    </row>
    <row r="19" spans="3:4">
      <c r="C19" t="s">
        <v>227</v>
      </c>
      <c r="D19" t="s">
        <v>227</v>
      </c>
    </row>
    <row r="20" spans="3:4">
      <c r="C20" t="s">
        <v>227</v>
      </c>
      <c r="D20" t="s">
        <v>227</v>
      </c>
    </row>
    <row r="21" spans="3:4">
      <c r="C21" t="s">
        <v>227</v>
      </c>
      <c r="D21" t="s">
        <v>227</v>
      </c>
    </row>
    <row r="22" spans="3:4">
      <c r="C22" t="s">
        <v>227</v>
      </c>
      <c r="D22" t="s">
        <v>227</v>
      </c>
    </row>
    <row r="23" spans="3:4">
      <c r="C23" t="s">
        <v>227</v>
      </c>
      <c r="D23" t="s">
        <v>227</v>
      </c>
    </row>
    <row r="24" spans="3:4">
      <c r="C24" t="s">
        <v>227</v>
      </c>
      <c r="D24" t="s">
        <v>227</v>
      </c>
    </row>
    <row r="25" spans="3:4">
      <c r="C25" t="s">
        <v>227</v>
      </c>
      <c r="D25" t="s">
        <v>227</v>
      </c>
    </row>
    <row r="26" spans="3:4">
      <c r="C26" t="s">
        <v>227</v>
      </c>
      <c r="D26" t="s">
        <v>227</v>
      </c>
    </row>
    <row r="27" spans="3:4">
      <c r="C27" t="s">
        <v>227</v>
      </c>
      <c r="D27" t="s">
        <v>227</v>
      </c>
    </row>
    <row r="28" spans="3:4">
      <c r="C28" t="s">
        <v>227</v>
      </c>
      <c r="D28" t="s">
        <v>227</v>
      </c>
    </row>
    <row r="29" spans="3:4">
      <c r="C29" t="s">
        <v>227</v>
      </c>
      <c r="D29" t="s">
        <v>227</v>
      </c>
    </row>
    <row r="30" spans="3:4">
      <c r="C30" t="s">
        <v>227</v>
      </c>
      <c r="D30" t="s">
        <v>227</v>
      </c>
    </row>
    <row r="31" spans="3:4">
      <c r="C31" t="s">
        <v>227</v>
      </c>
      <c r="D31" t="s">
        <v>227</v>
      </c>
    </row>
    <row r="32" spans="3:4">
      <c r="C32" t="s">
        <v>227</v>
      </c>
      <c r="D32" t="s">
        <v>227</v>
      </c>
    </row>
    <row r="33" spans="3:4">
      <c r="C33" t="s">
        <v>227</v>
      </c>
      <c r="D33" t="s">
        <v>227</v>
      </c>
    </row>
    <row r="34" spans="3:4">
      <c r="C34" t="s">
        <v>227</v>
      </c>
      <c r="D34" t="s">
        <v>227</v>
      </c>
    </row>
    <row r="35" spans="3:4">
      <c r="C35" t="s">
        <v>227</v>
      </c>
      <c r="D35" t="s">
        <v>227</v>
      </c>
    </row>
    <row r="36" spans="3:4">
      <c r="C36" t="s">
        <v>227</v>
      </c>
      <c r="D36" t="s">
        <v>227</v>
      </c>
    </row>
    <row r="37" spans="3:4">
      <c r="C37" t="s">
        <v>227</v>
      </c>
      <c r="D37" t="s">
        <v>227</v>
      </c>
    </row>
    <row r="38" spans="3:4">
      <c r="C38" t="s">
        <v>227</v>
      </c>
      <c r="D38" t="s">
        <v>227</v>
      </c>
    </row>
    <row r="39" spans="3:4">
      <c r="C39" t="s">
        <v>227</v>
      </c>
      <c r="D39" t="s">
        <v>227</v>
      </c>
    </row>
    <row r="40" spans="3:4">
      <c r="C40" t="s">
        <v>227</v>
      </c>
      <c r="D40" t="s">
        <v>227</v>
      </c>
    </row>
    <row r="41" spans="3:4">
      <c r="C41" t="s">
        <v>227</v>
      </c>
      <c r="D41" t="s">
        <v>227</v>
      </c>
    </row>
    <row r="42" spans="3:4">
      <c r="C42" t="s">
        <v>227</v>
      </c>
      <c r="D42" t="s">
        <v>227</v>
      </c>
    </row>
    <row r="43" spans="3:4">
      <c r="C43" t="s">
        <v>227</v>
      </c>
      <c r="D43" t="s">
        <v>227</v>
      </c>
    </row>
    <row r="44" spans="3:4">
      <c r="C44" t="s">
        <v>227</v>
      </c>
      <c r="D44" t="s">
        <v>227</v>
      </c>
    </row>
    <row r="45" spans="3:4">
      <c r="C45" t="s">
        <v>227</v>
      </c>
      <c r="D45" t="s">
        <v>227</v>
      </c>
    </row>
    <row r="46" spans="3:4">
      <c r="C46" t="s">
        <v>227</v>
      </c>
      <c r="D46" t="s">
        <v>227</v>
      </c>
    </row>
    <row r="47" spans="3:4">
      <c r="C47" t="s">
        <v>227</v>
      </c>
      <c r="D47" t="s">
        <v>227</v>
      </c>
    </row>
    <row r="48" spans="3:4">
      <c r="C48" t="s">
        <v>227</v>
      </c>
      <c r="D48" t="s">
        <v>227</v>
      </c>
    </row>
    <row r="49" spans="3:4">
      <c r="C49" t="s">
        <v>227</v>
      </c>
      <c r="D49" t="s">
        <v>227</v>
      </c>
    </row>
    <row r="50" spans="3:4">
      <c r="C50" t="s">
        <v>227</v>
      </c>
      <c r="D50" t="s">
        <v>227</v>
      </c>
    </row>
    <row r="51" spans="3:4">
      <c r="C51" t="s">
        <v>227</v>
      </c>
      <c r="D51" t="s">
        <v>227</v>
      </c>
    </row>
    <row r="52" spans="3:4">
      <c r="C52" t="s">
        <v>227</v>
      </c>
      <c r="D52" t="s">
        <v>227</v>
      </c>
    </row>
    <row r="53" spans="3:4">
      <c r="C53" t="s">
        <v>227</v>
      </c>
      <c r="D53" t="s">
        <v>227</v>
      </c>
    </row>
    <row r="54" spans="3:4">
      <c r="C54" t="s">
        <v>227</v>
      </c>
      <c r="D54" t="s">
        <v>227</v>
      </c>
    </row>
    <row r="55" spans="3:4">
      <c r="C55" t="s">
        <v>227</v>
      </c>
      <c r="D55" t="s">
        <v>227</v>
      </c>
    </row>
    <row r="56" spans="3:4">
      <c r="C56" t="s">
        <v>227</v>
      </c>
      <c r="D56" t="s">
        <v>227</v>
      </c>
    </row>
    <row r="57" spans="3:4">
      <c r="C57" t="s">
        <v>227</v>
      </c>
      <c r="D57" t="s">
        <v>227</v>
      </c>
    </row>
    <row r="58" spans="3:4">
      <c r="C58" t="s">
        <v>227</v>
      </c>
      <c r="D58" t="s">
        <v>227</v>
      </c>
    </row>
    <row r="59" spans="3:4">
      <c r="C59" t="s">
        <v>227</v>
      </c>
      <c r="D59" t="s">
        <v>227</v>
      </c>
    </row>
    <row r="60" spans="3:4">
      <c r="C60" t="s">
        <v>227</v>
      </c>
      <c r="D60" t="s">
        <v>227</v>
      </c>
    </row>
    <row r="61" spans="3:4">
      <c r="C61" t="s">
        <v>227</v>
      </c>
      <c r="D61" t="s">
        <v>227</v>
      </c>
    </row>
    <row r="62" spans="3:4">
      <c r="C62" t="s">
        <v>227</v>
      </c>
      <c r="D62" t="s">
        <v>227</v>
      </c>
    </row>
    <row r="63" spans="3:4">
      <c r="C63" t="s">
        <v>227</v>
      </c>
      <c r="D63" t="s">
        <v>227</v>
      </c>
    </row>
    <row r="64" spans="3:4">
      <c r="C64" t="s">
        <v>227</v>
      </c>
      <c r="D64" t="s">
        <v>227</v>
      </c>
    </row>
    <row r="65" spans="3:4">
      <c r="C65" t="s">
        <v>227</v>
      </c>
      <c r="D65" t="s">
        <v>227</v>
      </c>
    </row>
  </sheetData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225</v>
      </c>
      <c r="D7" t="s">
        <v>225</v>
      </c>
    </row>
    <row r="8" spans="3:4">
      <c r="C8" t="s">
        <v>225</v>
      </c>
      <c r="D8" t="s">
        <v>225</v>
      </c>
    </row>
    <row r="9" spans="3:4">
      <c r="C9" t="s">
        <v>225</v>
      </c>
      <c r="D9" t="s">
        <v>225</v>
      </c>
    </row>
    <row r="10" spans="3:4">
      <c r="C10" t="s">
        <v>225</v>
      </c>
      <c r="D10" t="s">
        <v>225</v>
      </c>
    </row>
    <row r="11" spans="3:4">
      <c r="C11" t="s">
        <v>225</v>
      </c>
      <c r="D11" t="s">
        <v>225</v>
      </c>
    </row>
    <row r="12" spans="3:4">
      <c r="C12" t="s">
        <v>225</v>
      </c>
      <c r="D12" t="s">
        <v>225</v>
      </c>
    </row>
    <row r="13" spans="3:4">
      <c r="C13" t="s">
        <v>225</v>
      </c>
      <c r="D13" t="s">
        <v>225</v>
      </c>
    </row>
    <row r="14" spans="3:4">
      <c r="C14" t="s">
        <v>225</v>
      </c>
      <c r="D14" t="s">
        <v>225</v>
      </c>
    </row>
    <row r="15" spans="3:4">
      <c r="C15" t="s">
        <v>225</v>
      </c>
      <c r="D15" t="s">
        <v>225</v>
      </c>
    </row>
    <row r="16" spans="3:4">
      <c r="C16" t="s">
        <v>225</v>
      </c>
      <c r="D16" t="s">
        <v>225</v>
      </c>
    </row>
    <row r="17" spans="3:4">
      <c r="C17" t="s">
        <v>225</v>
      </c>
      <c r="D17" t="s">
        <v>225</v>
      </c>
    </row>
    <row r="18" spans="3:4">
      <c r="C18" t="s">
        <v>225</v>
      </c>
      <c r="D18" t="s">
        <v>225</v>
      </c>
    </row>
    <row r="19" spans="3:4">
      <c r="C19" t="s">
        <v>225</v>
      </c>
      <c r="D19" t="s">
        <v>225</v>
      </c>
    </row>
    <row r="20" spans="3:4">
      <c r="C20" t="s">
        <v>225</v>
      </c>
      <c r="D20" t="s">
        <v>225</v>
      </c>
    </row>
    <row r="21" spans="3:4">
      <c r="C21" t="s">
        <v>225</v>
      </c>
      <c r="D21" t="s">
        <v>225</v>
      </c>
    </row>
    <row r="22" spans="3:4">
      <c r="C22" t="s">
        <v>225</v>
      </c>
      <c r="D22" t="s">
        <v>225</v>
      </c>
    </row>
    <row r="23" spans="3:4">
      <c r="C23" t="s">
        <v>225</v>
      </c>
      <c r="D23" t="s">
        <v>225</v>
      </c>
    </row>
    <row r="24" spans="3:4">
      <c r="C24" t="s">
        <v>225</v>
      </c>
      <c r="D24" t="s">
        <v>225</v>
      </c>
    </row>
    <row r="25" spans="3:4">
      <c r="C25" t="s">
        <v>225</v>
      </c>
      <c r="D25" t="s">
        <v>225</v>
      </c>
    </row>
    <row r="26" spans="3:4">
      <c r="C26" t="s">
        <v>225</v>
      </c>
      <c r="D26" t="s">
        <v>225</v>
      </c>
    </row>
    <row r="27" spans="3:4">
      <c r="C27" t="s">
        <v>225</v>
      </c>
      <c r="D27" t="s">
        <v>225</v>
      </c>
    </row>
    <row r="28" spans="3:4">
      <c r="C28" t="s">
        <v>225</v>
      </c>
      <c r="D28" t="s">
        <v>225</v>
      </c>
    </row>
    <row r="29" spans="3:4">
      <c r="C29" t="s">
        <v>225</v>
      </c>
      <c r="D29" t="s">
        <v>225</v>
      </c>
    </row>
    <row r="30" spans="3:4">
      <c r="C30" t="s">
        <v>225</v>
      </c>
      <c r="D30" t="s">
        <v>225</v>
      </c>
    </row>
    <row r="31" spans="3:4">
      <c r="C31" t="s">
        <v>225</v>
      </c>
      <c r="D31" t="s">
        <v>225</v>
      </c>
    </row>
    <row r="32" spans="3:4">
      <c r="C32" t="s">
        <v>225</v>
      </c>
      <c r="D32" t="s">
        <v>225</v>
      </c>
    </row>
    <row r="33" spans="3:4">
      <c r="C33" t="s">
        <v>225</v>
      </c>
      <c r="D33" t="s">
        <v>225</v>
      </c>
    </row>
    <row r="34" spans="3:4">
      <c r="C34" t="s">
        <v>225</v>
      </c>
      <c r="D34" t="s">
        <v>225</v>
      </c>
    </row>
    <row r="35" spans="3:4">
      <c r="C35" t="s">
        <v>225</v>
      </c>
      <c r="D35" t="s">
        <v>225</v>
      </c>
    </row>
    <row r="36" spans="3:4">
      <c r="C36" t="s">
        <v>225</v>
      </c>
      <c r="D36" t="s">
        <v>225</v>
      </c>
    </row>
    <row r="37" spans="3:4">
      <c r="C37" t="s">
        <v>225</v>
      </c>
      <c r="D37" t="s">
        <v>225</v>
      </c>
    </row>
    <row r="38" spans="3:4">
      <c r="C38" t="s">
        <v>225</v>
      </c>
      <c r="D38" t="s">
        <v>225</v>
      </c>
    </row>
    <row r="39" spans="3:4">
      <c r="C39" t="s">
        <v>225</v>
      </c>
      <c r="D39" t="s">
        <v>225</v>
      </c>
    </row>
    <row r="40" spans="3:4">
      <c r="C40" t="s">
        <v>225</v>
      </c>
      <c r="D40" t="s">
        <v>225</v>
      </c>
    </row>
    <row r="41" spans="3:4">
      <c r="C41" t="s">
        <v>225</v>
      </c>
      <c r="D41" t="s">
        <v>225</v>
      </c>
    </row>
    <row r="42" spans="3:4">
      <c r="C42" t="s">
        <v>225</v>
      </c>
      <c r="D42" t="s">
        <v>225</v>
      </c>
    </row>
    <row r="43" spans="3:4">
      <c r="C43" t="s">
        <v>225</v>
      </c>
      <c r="D43" t="s">
        <v>225</v>
      </c>
    </row>
    <row r="44" spans="3:4">
      <c r="C44" t="s">
        <v>225</v>
      </c>
      <c r="D44" t="s">
        <v>225</v>
      </c>
    </row>
    <row r="45" spans="3:4">
      <c r="C45" t="s">
        <v>225</v>
      </c>
      <c r="D45" t="s">
        <v>225</v>
      </c>
    </row>
    <row r="46" spans="3:4">
      <c r="C46" t="s">
        <v>225</v>
      </c>
      <c r="D46" t="s">
        <v>225</v>
      </c>
    </row>
    <row r="47" spans="3:4">
      <c r="C47" t="s">
        <v>225</v>
      </c>
      <c r="D47" t="s">
        <v>225</v>
      </c>
    </row>
    <row r="48" spans="3:4">
      <c r="C48" t="s">
        <v>225</v>
      </c>
      <c r="D48" t="s">
        <v>225</v>
      </c>
    </row>
    <row r="49" spans="3:4">
      <c r="C49" t="s">
        <v>225</v>
      </c>
      <c r="D49" t="s">
        <v>225</v>
      </c>
    </row>
    <row r="50" spans="3:4">
      <c r="C50" t="s">
        <v>225</v>
      </c>
      <c r="D50" t="s">
        <v>225</v>
      </c>
    </row>
    <row r="51" spans="3:4">
      <c r="C51" t="s">
        <v>225</v>
      </c>
      <c r="D51" t="s">
        <v>225</v>
      </c>
    </row>
    <row r="52" spans="3:4">
      <c r="C52" t="s">
        <v>225</v>
      </c>
      <c r="D52" t="s">
        <v>225</v>
      </c>
    </row>
    <row r="53" spans="3:4">
      <c r="C53" t="s">
        <v>225</v>
      </c>
      <c r="D53" t="s">
        <v>225</v>
      </c>
    </row>
    <row r="54" spans="3:4">
      <c r="C54" t="s">
        <v>225</v>
      </c>
      <c r="D54" t="s">
        <v>225</v>
      </c>
    </row>
    <row r="55" spans="3:4">
      <c r="C55" t="s">
        <v>225</v>
      </c>
      <c r="D55" t="s">
        <v>225</v>
      </c>
    </row>
    <row r="56" spans="3:4">
      <c r="C56" t="s">
        <v>225</v>
      </c>
      <c r="D56" t="s">
        <v>225</v>
      </c>
    </row>
    <row r="57" spans="3:4">
      <c r="C57" t="s">
        <v>225</v>
      </c>
      <c r="D57" t="s">
        <v>225</v>
      </c>
    </row>
    <row r="58" spans="3:4">
      <c r="C58" t="s">
        <v>225</v>
      </c>
      <c r="D58" t="s">
        <v>225</v>
      </c>
    </row>
    <row r="59" spans="3:4">
      <c r="C59" t="s">
        <v>225</v>
      </c>
      <c r="D59" t="s">
        <v>225</v>
      </c>
    </row>
    <row r="60" spans="3:4">
      <c r="C60" t="s">
        <v>225</v>
      </c>
      <c r="D60" t="s">
        <v>225</v>
      </c>
    </row>
    <row r="61" spans="3:4">
      <c r="C61" t="s">
        <v>225</v>
      </c>
      <c r="D61" t="s">
        <v>225</v>
      </c>
    </row>
    <row r="62" spans="3:4">
      <c r="C62" t="s">
        <v>225</v>
      </c>
      <c r="D62" t="s">
        <v>225</v>
      </c>
    </row>
    <row r="63" spans="3:4">
      <c r="C63" t="s">
        <v>225</v>
      </c>
      <c r="D63" t="s">
        <v>225</v>
      </c>
    </row>
    <row r="64" spans="3:4">
      <c r="C64" t="s">
        <v>225</v>
      </c>
      <c r="D64" t="s">
        <v>225</v>
      </c>
    </row>
    <row r="65" spans="3:4">
      <c r="C65" t="s">
        <v>225</v>
      </c>
      <c r="D65" t="s">
        <v>225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3.25" customHeight="1">
      <c r="A5" s="115" t="s">
        <v>83</v>
      </c>
      <c r="B5" s="117" t="s">
        <v>84</v>
      </c>
      <c r="C5" s="119" t="s">
        <v>256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1266374.69</v>
      </c>
      <c r="D8" s="11">
        <f>D9+D11+D14+D15</f>
        <v>1222355.3</v>
      </c>
    </row>
    <row r="9" spans="1:4" ht="30">
      <c r="A9" s="12" t="s">
        <v>90</v>
      </c>
      <c r="B9" s="13" t="s">
        <v>91</v>
      </c>
      <c r="C9" s="14">
        <f>1114735.56</f>
        <v>1114735.56</v>
      </c>
      <c r="D9" s="15">
        <f>1110177.87</f>
        <v>1110177.8700000001</v>
      </c>
    </row>
    <row r="10" spans="1:4">
      <c r="A10" s="16" t="s">
        <v>92</v>
      </c>
      <c r="B10" s="17" t="s">
        <v>93</v>
      </c>
      <c r="C10" s="18">
        <f>691119.170506913</f>
        <v>691119.17050691298</v>
      </c>
      <c r="D10" s="19">
        <f>_37h_E12</f>
        <v>691119.17050691298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151639.13</v>
      </c>
      <c r="D15" s="15">
        <f>SUM(D16:D24)</f>
        <v>112177.43000000001</v>
      </c>
    </row>
    <row r="16" spans="1:4">
      <c r="A16" s="22" t="s">
        <v>103</v>
      </c>
      <c r="B16" s="17" t="s">
        <v>104</v>
      </c>
      <c r="C16" s="111">
        <v>101208.72</v>
      </c>
      <c r="D16" s="113">
        <v>55408.23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24996.72</f>
        <v>24996.720000000001</v>
      </c>
      <c r="D18" s="19">
        <f>31335.28</f>
        <v>31335.279999999999</v>
      </c>
    </row>
    <row r="19" spans="1:4">
      <c r="A19" s="22" t="s">
        <v>109</v>
      </c>
      <c r="B19" s="17" t="s">
        <v>110</v>
      </c>
      <c r="C19" s="18">
        <f>2961.6</f>
        <v>2961.6</v>
      </c>
      <c r="D19" s="19">
        <f>2963.58</f>
        <v>2963.58</v>
      </c>
    </row>
    <row r="20" spans="1:4">
      <c r="A20" s="22" t="s">
        <v>111</v>
      </c>
      <c r="B20" s="17" t="s">
        <v>112</v>
      </c>
      <c r="C20" s="18">
        <f>3961.2</f>
        <v>3961.2</v>
      </c>
      <c r="D20" s="19">
        <f>3959.45</f>
        <v>3959.45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18510.89</f>
        <v>18510.89</v>
      </c>
      <c r="D22" s="19">
        <f>18510.89</f>
        <v>18510.89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482462.78000000503</v>
      </c>
      <c r="D25" s="15">
        <f>D26+D27+D30+D28+D29+D31</f>
        <v>267334.34000000003</v>
      </c>
    </row>
    <row r="26" spans="1:4" ht="21.75" customHeight="1">
      <c r="A26" s="24" t="s">
        <v>123</v>
      </c>
      <c r="B26" s="20" t="s">
        <v>124</v>
      </c>
      <c r="C26" s="18">
        <f>134236.68</f>
        <v>134236.68</v>
      </c>
      <c r="D26" s="19">
        <f>134236.67</f>
        <v>134236.67000000001</v>
      </c>
    </row>
    <row r="27" spans="1:4" ht="45">
      <c r="A27" s="24" t="s">
        <v>125</v>
      </c>
      <c r="B27" s="20" t="s">
        <v>126</v>
      </c>
      <c r="C27" s="18">
        <f>20264.04</f>
        <v>20264.04</v>
      </c>
      <c r="D27" s="19">
        <f>20241.28</f>
        <v>20241.28</v>
      </c>
    </row>
    <row r="28" spans="1:4" ht="35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20829</f>
        <v>20829</v>
      </c>
      <c r="D29" s="19">
        <f>20646.88</f>
        <v>20646.88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307133.060000005</v>
      </c>
      <c r="D31" s="15">
        <f>SUM(D32:D39)</f>
        <v>92209.51</v>
      </c>
    </row>
    <row r="32" spans="1:4" ht="20.2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27500.64</f>
        <v>27500.639999999999</v>
      </c>
      <c r="D33" s="19">
        <f>18305.91</f>
        <v>18305.91</v>
      </c>
    </row>
    <row r="34" spans="1:4">
      <c r="A34" s="24" t="s">
        <v>139</v>
      </c>
      <c r="B34" s="17" t="s">
        <v>140</v>
      </c>
      <c r="C34" s="18">
        <f>22304.04</f>
        <v>22304.04</v>
      </c>
      <c r="D34" s="19">
        <f>22537.94</f>
        <v>22537.94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5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226696.970000005</f>
        <v>226696.97000000501</v>
      </c>
      <c r="D39" s="19">
        <f>20734.25</f>
        <v>20734.25</v>
      </c>
    </row>
    <row r="40" spans="1:4" ht="24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3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31724.09</v>
      </c>
      <c r="D45" s="27">
        <f>SUM(D46:D48)</f>
        <v>251253.64</v>
      </c>
    </row>
    <row r="46" spans="1:4">
      <c r="A46" s="21" t="s">
        <v>163</v>
      </c>
      <c r="B46" s="17" t="s">
        <v>164</v>
      </c>
      <c r="C46" s="18">
        <f>12070.32</f>
        <v>12070.32</v>
      </c>
      <c r="D46" s="19">
        <f>13372.26</f>
        <v>13372.26</v>
      </c>
    </row>
    <row r="47" spans="1:4">
      <c r="A47" s="21" t="s">
        <v>149</v>
      </c>
      <c r="B47" s="17" t="s">
        <v>165</v>
      </c>
      <c r="C47" s="18">
        <f>19213.61</f>
        <v>19213.61</v>
      </c>
      <c r="D47" s="19">
        <f>237441.22</f>
        <v>237441.22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140799.24</f>
        <v>140799.24</v>
      </c>
      <c r="D49" s="30">
        <f>180417.52</f>
        <v>180417.52</v>
      </c>
    </row>
    <row r="50" spans="1:4">
      <c r="A50" s="8" t="s">
        <v>169</v>
      </c>
      <c r="B50" s="9" t="s">
        <v>170</v>
      </c>
      <c r="C50" s="14">
        <f>C8+C25+C40+C41+C42+C43+C44+C45+C49+C51+C52</f>
        <v>1921360.8000000049</v>
      </c>
      <c r="D50" s="15">
        <f>D8+D25+D40+D41+D42+D43+D44+D45+D49+D51+D52</f>
        <v>1921360.8000000003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1117448.8800000001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1089993.84</f>
        <v>1089993.8400000001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27455.04</f>
        <v>27455.040000000001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596406</f>
        <v>596406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1713854.8800000001</v>
      </c>
      <c r="D59" s="27">
        <f>D54+D57+D58</f>
        <v>0</v>
      </c>
    </row>
    <row r="60" spans="1:4" ht="25.5">
      <c r="A60" s="33" t="s">
        <v>188</v>
      </c>
      <c r="B60" s="9"/>
      <c r="C60" s="34">
        <v>7132</v>
      </c>
      <c r="D60" s="35">
        <v>7132</v>
      </c>
    </row>
    <row r="61" spans="1:4" ht="15.75" thickBot="1">
      <c r="A61" s="36" t="s">
        <v>189</v>
      </c>
      <c r="B61" s="37"/>
      <c r="C61" s="38">
        <f>(C50+C51+C52)/C60/12</f>
        <v>22.45000000000006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223</v>
      </c>
      <c r="D7" t="s">
        <v>223</v>
      </c>
    </row>
    <row r="8" spans="3:4">
      <c r="C8" t="s">
        <v>223</v>
      </c>
      <c r="D8" t="s">
        <v>223</v>
      </c>
    </row>
    <row r="9" spans="3:4">
      <c r="C9" t="s">
        <v>223</v>
      </c>
      <c r="D9" t="s">
        <v>223</v>
      </c>
    </row>
    <row r="10" spans="3:4">
      <c r="C10" t="s">
        <v>223</v>
      </c>
      <c r="D10" t="s">
        <v>223</v>
      </c>
    </row>
    <row r="11" spans="3:4">
      <c r="C11" t="s">
        <v>223</v>
      </c>
      <c r="D11" t="s">
        <v>223</v>
      </c>
    </row>
    <row r="12" spans="3:4">
      <c r="C12" t="s">
        <v>223</v>
      </c>
      <c r="D12" t="s">
        <v>223</v>
      </c>
    </row>
    <row r="13" spans="3:4">
      <c r="C13" t="s">
        <v>223</v>
      </c>
      <c r="D13" t="s">
        <v>223</v>
      </c>
    </row>
    <row r="14" spans="3:4">
      <c r="C14" t="s">
        <v>223</v>
      </c>
      <c r="D14" t="s">
        <v>223</v>
      </c>
    </row>
    <row r="15" spans="3:4">
      <c r="C15" t="s">
        <v>223</v>
      </c>
      <c r="D15" t="s">
        <v>223</v>
      </c>
    </row>
    <row r="16" spans="3:4">
      <c r="C16" t="s">
        <v>223</v>
      </c>
      <c r="D16" t="s">
        <v>223</v>
      </c>
    </row>
    <row r="17" spans="3:4">
      <c r="C17" t="s">
        <v>223</v>
      </c>
      <c r="D17" t="s">
        <v>223</v>
      </c>
    </row>
    <row r="18" spans="3:4">
      <c r="C18" t="s">
        <v>223</v>
      </c>
      <c r="D18" t="s">
        <v>223</v>
      </c>
    </row>
    <row r="19" spans="3:4">
      <c r="C19" t="s">
        <v>223</v>
      </c>
      <c r="D19" t="s">
        <v>223</v>
      </c>
    </row>
    <row r="20" spans="3:4">
      <c r="C20" t="s">
        <v>223</v>
      </c>
      <c r="D20" t="s">
        <v>223</v>
      </c>
    </row>
    <row r="21" spans="3:4">
      <c r="C21" t="s">
        <v>223</v>
      </c>
      <c r="D21" t="s">
        <v>223</v>
      </c>
    </row>
    <row r="22" spans="3:4">
      <c r="C22" t="s">
        <v>223</v>
      </c>
      <c r="D22" t="s">
        <v>223</v>
      </c>
    </row>
    <row r="23" spans="3:4">
      <c r="C23" t="s">
        <v>223</v>
      </c>
      <c r="D23" t="s">
        <v>223</v>
      </c>
    </row>
    <row r="24" spans="3:4">
      <c r="C24" t="s">
        <v>223</v>
      </c>
      <c r="D24" t="s">
        <v>223</v>
      </c>
    </row>
    <row r="25" spans="3:4">
      <c r="C25" t="s">
        <v>223</v>
      </c>
      <c r="D25" t="s">
        <v>223</v>
      </c>
    </row>
    <row r="26" spans="3:4">
      <c r="C26" t="s">
        <v>223</v>
      </c>
      <c r="D26" t="s">
        <v>223</v>
      </c>
    </row>
    <row r="27" spans="3:4">
      <c r="C27" t="s">
        <v>223</v>
      </c>
      <c r="D27" t="s">
        <v>223</v>
      </c>
    </row>
    <row r="28" spans="3:4">
      <c r="C28" t="s">
        <v>223</v>
      </c>
      <c r="D28" t="s">
        <v>223</v>
      </c>
    </row>
    <row r="29" spans="3:4">
      <c r="C29" t="s">
        <v>223</v>
      </c>
      <c r="D29" t="s">
        <v>223</v>
      </c>
    </row>
    <row r="30" spans="3:4">
      <c r="C30" t="s">
        <v>223</v>
      </c>
      <c r="D30" t="s">
        <v>223</v>
      </c>
    </row>
    <row r="31" spans="3:4">
      <c r="C31" t="s">
        <v>223</v>
      </c>
      <c r="D31" t="s">
        <v>223</v>
      </c>
    </row>
    <row r="32" spans="3:4">
      <c r="C32" t="s">
        <v>223</v>
      </c>
      <c r="D32" t="s">
        <v>223</v>
      </c>
    </row>
    <row r="33" spans="3:4">
      <c r="C33" t="s">
        <v>223</v>
      </c>
      <c r="D33" t="s">
        <v>223</v>
      </c>
    </row>
    <row r="34" spans="3:4">
      <c r="C34" t="s">
        <v>223</v>
      </c>
      <c r="D34" t="s">
        <v>223</v>
      </c>
    </row>
    <row r="35" spans="3:4">
      <c r="C35" t="s">
        <v>223</v>
      </c>
      <c r="D35" t="s">
        <v>223</v>
      </c>
    </row>
    <row r="36" spans="3:4">
      <c r="C36" t="s">
        <v>223</v>
      </c>
      <c r="D36" t="s">
        <v>223</v>
      </c>
    </row>
    <row r="37" spans="3:4">
      <c r="C37" t="s">
        <v>223</v>
      </c>
      <c r="D37" t="s">
        <v>223</v>
      </c>
    </row>
    <row r="38" spans="3:4">
      <c r="C38" t="s">
        <v>223</v>
      </c>
      <c r="D38" t="s">
        <v>223</v>
      </c>
    </row>
    <row r="39" spans="3:4">
      <c r="C39" t="s">
        <v>223</v>
      </c>
      <c r="D39" t="s">
        <v>223</v>
      </c>
    </row>
    <row r="40" spans="3:4">
      <c r="C40" t="s">
        <v>223</v>
      </c>
      <c r="D40" t="s">
        <v>223</v>
      </c>
    </row>
    <row r="41" spans="3:4">
      <c r="C41" t="s">
        <v>223</v>
      </c>
      <c r="D41" t="s">
        <v>223</v>
      </c>
    </row>
    <row r="42" spans="3:4">
      <c r="C42" t="s">
        <v>223</v>
      </c>
      <c r="D42" t="s">
        <v>223</v>
      </c>
    </row>
    <row r="43" spans="3:4">
      <c r="C43" t="s">
        <v>223</v>
      </c>
      <c r="D43" t="s">
        <v>223</v>
      </c>
    </row>
    <row r="44" spans="3:4">
      <c r="C44" t="s">
        <v>223</v>
      </c>
      <c r="D44" t="s">
        <v>223</v>
      </c>
    </row>
    <row r="45" spans="3:4">
      <c r="C45" t="s">
        <v>223</v>
      </c>
      <c r="D45" t="s">
        <v>223</v>
      </c>
    </row>
    <row r="46" spans="3:4">
      <c r="C46" t="s">
        <v>223</v>
      </c>
      <c r="D46" t="s">
        <v>223</v>
      </c>
    </row>
    <row r="47" spans="3:4">
      <c r="C47" t="s">
        <v>223</v>
      </c>
      <c r="D47" t="s">
        <v>223</v>
      </c>
    </row>
    <row r="48" spans="3:4">
      <c r="C48" t="s">
        <v>223</v>
      </c>
      <c r="D48" t="s">
        <v>223</v>
      </c>
    </row>
    <row r="49" spans="3:4">
      <c r="C49" t="s">
        <v>223</v>
      </c>
      <c r="D49" t="s">
        <v>223</v>
      </c>
    </row>
    <row r="50" spans="3:4">
      <c r="C50" t="s">
        <v>223</v>
      </c>
      <c r="D50" t="s">
        <v>223</v>
      </c>
    </row>
    <row r="51" spans="3:4">
      <c r="C51" t="s">
        <v>223</v>
      </c>
      <c r="D51" t="s">
        <v>223</v>
      </c>
    </row>
    <row r="52" spans="3:4">
      <c r="C52" t="s">
        <v>223</v>
      </c>
      <c r="D52" t="s">
        <v>223</v>
      </c>
    </row>
    <row r="53" spans="3:4">
      <c r="C53" t="s">
        <v>223</v>
      </c>
      <c r="D53" t="s">
        <v>223</v>
      </c>
    </row>
    <row r="54" spans="3:4">
      <c r="C54" t="s">
        <v>223</v>
      </c>
      <c r="D54" t="s">
        <v>223</v>
      </c>
    </row>
    <row r="55" spans="3:4">
      <c r="C55" t="s">
        <v>223</v>
      </c>
      <c r="D55" t="s">
        <v>223</v>
      </c>
    </row>
    <row r="56" spans="3:4">
      <c r="C56" t="s">
        <v>223</v>
      </c>
      <c r="D56" t="s">
        <v>223</v>
      </c>
    </row>
    <row r="57" spans="3:4">
      <c r="C57" t="s">
        <v>223</v>
      </c>
      <c r="D57" t="s">
        <v>223</v>
      </c>
    </row>
    <row r="58" spans="3:4">
      <c r="C58" t="s">
        <v>223</v>
      </c>
      <c r="D58" t="s">
        <v>223</v>
      </c>
    </row>
    <row r="59" spans="3:4">
      <c r="C59" t="s">
        <v>223</v>
      </c>
      <c r="D59" t="s">
        <v>223</v>
      </c>
    </row>
    <row r="60" spans="3:4">
      <c r="C60" t="s">
        <v>223</v>
      </c>
      <c r="D60" t="s">
        <v>223</v>
      </c>
    </row>
    <row r="61" spans="3:4">
      <c r="C61" t="s">
        <v>223</v>
      </c>
      <c r="D61" t="s">
        <v>223</v>
      </c>
    </row>
    <row r="62" spans="3:4">
      <c r="C62" t="s">
        <v>223</v>
      </c>
      <c r="D62" t="s">
        <v>223</v>
      </c>
    </row>
    <row r="63" spans="3:4">
      <c r="C63" t="s">
        <v>223</v>
      </c>
      <c r="D63" t="s">
        <v>223</v>
      </c>
    </row>
    <row r="64" spans="3:4">
      <c r="C64" t="s">
        <v>223</v>
      </c>
      <c r="D64" t="s">
        <v>223</v>
      </c>
    </row>
    <row r="65" spans="3:4">
      <c r="C65" t="s">
        <v>223</v>
      </c>
      <c r="D65" t="s">
        <v>223</v>
      </c>
    </row>
  </sheetData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221</v>
      </c>
      <c r="D7" t="s">
        <v>221</v>
      </c>
    </row>
    <row r="8" spans="3:4">
      <c r="C8" t="s">
        <v>221</v>
      </c>
      <c r="D8" t="s">
        <v>221</v>
      </c>
    </row>
    <row r="9" spans="3:4">
      <c r="C9" t="s">
        <v>221</v>
      </c>
      <c r="D9" t="s">
        <v>221</v>
      </c>
    </row>
    <row r="10" spans="3:4">
      <c r="C10" t="s">
        <v>221</v>
      </c>
      <c r="D10" t="s">
        <v>221</v>
      </c>
    </row>
    <row r="11" spans="3:4">
      <c r="C11" t="s">
        <v>221</v>
      </c>
      <c r="D11" t="s">
        <v>221</v>
      </c>
    </row>
    <row r="12" spans="3:4">
      <c r="C12" t="s">
        <v>221</v>
      </c>
      <c r="D12" t="s">
        <v>221</v>
      </c>
    </row>
    <row r="13" spans="3:4">
      <c r="C13" t="s">
        <v>221</v>
      </c>
      <c r="D13" t="s">
        <v>221</v>
      </c>
    </row>
    <row r="14" spans="3:4">
      <c r="C14" t="s">
        <v>221</v>
      </c>
      <c r="D14" t="s">
        <v>221</v>
      </c>
    </row>
    <row r="15" spans="3:4">
      <c r="C15" t="s">
        <v>221</v>
      </c>
      <c r="D15" t="s">
        <v>221</v>
      </c>
    </row>
    <row r="16" spans="3:4">
      <c r="C16" t="s">
        <v>221</v>
      </c>
      <c r="D16" t="s">
        <v>221</v>
      </c>
    </row>
    <row r="17" spans="3:4">
      <c r="C17" t="s">
        <v>221</v>
      </c>
      <c r="D17" t="s">
        <v>221</v>
      </c>
    </row>
    <row r="18" spans="3:4">
      <c r="C18" t="s">
        <v>221</v>
      </c>
      <c r="D18" t="s">
        <v>221</v>
      </c>
    </row>
    <row r="19" spans="3:4">
      <c r="C19" t="s">
        <v>221</v>
      </c>
      <c r="D19" t="s">
        <v>221</v>
      </c>
    </row>
    <row r="20" spans="3:4">
      <c r="C20" t="s">
        <v>221</v>
      </c>
      <c r="D20" t="s">
        <v>221</v>
      </c>
    </row>
    <row r="21" spans="3:4">
      <c r="C21" t="s">
        <v>221</v>
      </c>
      <c r="D21" t="s">
        <v>221</v>
      </c>
    </row>
    <row r="22" spans="3:4">
      <c r="C22" t="s">
        <v>221</v>
      </c>
      <c r="D22" t="s">
        <v>221</v>
      </c>
    </row>
    <row r="23" spans="3:4">
      <c r="C23" t="s">
        <v>221</v>
      </c>
      <c r="D23" t="s">
        <v>221</v>
      </c>
    </row>
    <row r="24" spans="3:4">
      <c r="C24" t="s">
        <v>221</v>
      </c>
      <c r="D24" t="s">
        <v>221</v>
      </c>
    </row>
    <row r="25" spans="3:4">
      <c r="C25" t="s">
        <v>221</v>
      </c>
      <c r="D25" t="s">
        <v>221</v>
      </c>
    </row>
    <row r="26" spans="3:4">
      <c r="C26" t="s">
        <v>221</v>
      </c>
      <c r="D26" t="s">
        <v>221</v>
      </c>
    </row>
    <row r="27" spans="3:4">
      <c r="C27" t="s">
        <v>221</v>
      </c>
      <c r="D27" t="s">
        <v>221</v>
      </c>
    </row>
    <row r="28" spans="3:4">
      <c r="C28" t="s">
        <v>221</v>
      </c>
      <c r="D28" t="s">
        <v>221</v>
      </c>
    </row>
    <row r="29" spans="3:4">
      <c r="C29" t="s">
        <v>221</v>
      </c>
      <c r="D29" t="s">
        <v>221</v>
      </c>
    </row>
    <row r="30" spans="3:4">
      <c r="C30" t="s">
        <v>221</v>
      </c>
      <c r="D30" t="s">
        <v>221</v>
      </c>
    </row>
    <row r="31" spans="3:4">
      <c r="C31" t="s">
        <v>221</v>
      </c>
      <c r="D31" t="s">
        <v>221</v>
      </c>
    </row>
    <row r="32" spans="3:4">
      <c r="C32" t="s">
        <v>221</v>
      </c>
      <c r="D32" t="s">
        <v>221</v>
      </c>
    </row>
    <row r="33" spans="3:4">
      <c r="C33" t="s">
        <v>221</v>
      </c>
      <c r="D33" t="s">
        <v>221</v>
      </c>
    </row>
    <row r="34" spans="3:4">
      <c r="C34" t="s">
        <v>221</v>
      </c>
      <c r="D34" t="s">
        <v>221</v>
      </c>
    </row>
    <row r="35" spans="3:4">
      <c r="C35" t="s">
        <v>221</v>
      </c>
      <c r="D35" t="s">
        <v>221</v>
      </c>
    </row>
    <row r="36" spans="3:4">
      <c r="C36" t="s">
        <v>221</v>
      </c>
      <c r="D36" t="s">
        <v>221</v>
      </c>
    </row>
    <row r="37" spans="3:4">
      <c r="C37" t="s">
        <v>221</v>
      </c>
      <c r="D37" t="s">
        <v>221</v>
      </c>
    </row>
    <row r="38" spans="3:4">
      <c r="C38" t="s">
        <v>221</v>
      </c>
      <c r="D38" t="s">
        <v>221</v>
      </c>
    </row>
    <row r="39" spans="3:4">
      <c r="C39" t="s">
        <v>221</v>
      </c>
      <c r="D39" t="s">
        <v>221</v>
      </c>
    </row>
    <row r="40" spans="3:4">
      <c r="C40" t="s">
        <v>221</v>
      </c>
      <c r="D40" t="s">
        <v>221</v>
      </c>
    </row>
    <row r="41" spans="3:4">
      <c r="C41" t="s">
        <v>221</v>
      </c>
      <c r="D41" t="s">
        <v>221</v>
      </c>
    </row>
    <row r="42" spans="3:4">
      <c r="C42" t="s">
        <v>221</v>
      </c>
      <c r="D42" t="s">
        <v>221</v>
      </c>
    </row>
    <row r="43" spans="3:4">
      <c r="C43" t="s">
        <v>221</v>
      </c>
      <c r="D43" t="s">
        <v>221</v>
      </c>
    </row>
    <row r="44" spans="3:4">
      <c r="C44" t="s">
        <v>221</v>
      </c>
      <c r="D44" t="s">
        <v>221</v>
      </c>
    </row>
    <row r="45" spans="3:4">
      <c r="C45" t="s">
        <v>221</v>
      </c>
      <c r="D45" t="s">
        <v>221</v>
      </c>
    </row>
    <row r="46" spans="3:4">
      <c r="C46" t="s">
        <v>221</v>
      </c>
      <c r="D46" t="s">
        <v>221</v>
      </c>
    </row>
    <row r="47" spans="3:4">
      <c r="C47" t="s">
        <v>221</v>
      </c>
      <c r="D47" t="s">
        <v>221</v>
      </c>
    </row>
    <row r="48" spans="3:4">
      <c r="C48" t="s">
        <v>221</v>
      </c>
      <c r="D48" t="s">
        <v>221</v>
      </c>
    </row>
    <row r="49" spans="3:4">
      <c r="C49" t="s">
        <v>221</v>
      </c>
      <c r="D49" t="s">
        <v>221</v>
      </c>
    </row>
    <row r="50" spans="3:4">
      <c r="C50" t="s">
        <v>221</v>
      </c>
      <c r="D50" t="s">
        <v>221</v>
      </c>
    </row>
    <row r="51" spans="3:4">
      <c r="C51" t="s">
        <v>221</v>
      </c>
      <c r="D51" t="s">
        <v>221</v>
      </c>
    </row>
    <row r="52" spans="3:4">
      <c r="C52" t="s">
        <v>221</v>
      </c>
      <c r="D52" t="s">
        <v>221</v>
      </c>
    </row>
    <row r="53" spans="3:4">
      <c r="C53" t="s">
        <v>221</v>
      </c>
      <c r="D53" t="s">
        <v>221</v>
      </c>
    </row>
    <row r="54" spans="3:4">
      <c r="C54" t="s">
        <v>221</v>
      </c>
      <c r="D54" t="s">
        <v>221</v>
      </c>
    </row>
    <row r="55" spans="3:4">
      <c r="C55" t="s">
        <v>221</v>
      </c>
      <c r="D55" t="s">
        <v>221</v>
      </c>
    </row>
    <row r="56" spans="3:4">
      <c r="C56" t="s">
        <v>221</v>
      </c>
      <c r="D56" t="s">
        <v>221</v>
      </c>
    </row>
    <row r="57" spans="3:4">
      <c r="C57" t="s">
        <v>221</v>
      </c>
      <c r="D57" t="s">
        <v>221</v>
      </c>
    </row>
    <row r="58" spans="3:4">
      <c r="C58" t="s">
        <v>221</v>
      </c>
      <c r="D58" t="s">
        <v>221</v>
      </c>
    </row>
    <row r="59" spans="3:4">
      <c r="C59" t="s">
        <v>221</v>
      </c>
      <c r="D59" t="s">
        <v>221</v>
      </c>
    </row>
    <row r="60" spans="3:4">
      <c r="C60" t="s">
        <v>221</v>
      </c>
      <c r="D60" t="s">
        <v>221</v>
      </c>
    </row>
    <row r="61" spans="3:4">
      <c r="C61" t="s">
        <v>221</v>
      </c>
      <c r="D61" t="s">
        <v>221</v>
      </c>
    </row>
    <row r="62" spans="3:4">
      <c r="C62" t="s">
        <v>221</v>
      </c>
      <c r="D62" t="s">
        <v>221</v>
      </c>
    </row>
    <row r="63" spans="3:4">
      <c r="C63" t="s">
        <v>221</v>
      </c>
      <c r="D63" t="s">
        <v>221</v>
      </c>
    </row>
    <row r="64" spans="3:4">
      <c r="C64" t="s">
        <v>221</v>
      </c>
      <c r="D64" t="s">
        <v>221</v>
      </c>
    </row>
    <row r="65" spans="3:4">
      <c r="C65" t="s">
        <v>221</v>
      </c>
      <c r="D65" t="s">
        <v>221</v>
      </c>
    </row>
  </sheetData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219</v>
      </c>
      <c r="D7" t="s">
        <v>219</v>
      </c>
    </row>
    <row r="8" spans="3:4">
      <c r="C8" t="s">
        <v>219</v>
      </c>
      <c r="D8" t="s">
        <v>219</v>
      </c>
    </row>
    <row r="9" spans="3:4">
      <c r="C9" t="s">
        <v>219</v>
      </c>
      <c r="D9" t="s">
        <v>219</v>
      </c>
    </row>
    <row r="10" spans="3:4">
      <c r="C10" t="s">
        <v>219</v>
      </c>
      <c r="D10" t="s">
        <v>219</v>
      </c>
    </row>
    <row r="11" spans="3:4">
      <c r="C11" t="s">
        <v>219</v>
      </c>
      <c r="D11" t="s">
        <v>219</v>
      </c>
    </row>
    <row r="12" spans="3:4">
      <c r="C12" t="s">
        <v>219</v>
      </c>
      <c r="D12" t="s">
        <v>219</v>
      </c>
    </row>
    <row r="13" spans="3:4">
      <c r="C13" t="s">
        <v>219</v>
      </c>
      <c r="D13" t="s">
        <v>219</v>
      </c>
    </row>
    <row r="14" spans="3:4">
      <c r="C14" t="s">
        <v>219</v>
      </c>
      <c r="D14" t="s">
        <v>219</v>
      </c>
    </row>
    <row r="15" spans="3:4">
      <c r="C15" t="s">
        <v>219</v>
      </c>
      <c r="D15" t="s">
        <v>219</v>
      </c>
    </row>
    <row r="16" spans="3:4">
      <c r="C16" t="s">
        <v>219</v>
      </c>
      <c r="D16" t="s">
        <v>219</v>
      </c>
    </row>
    <row r="17" spans="3:4">
      <c r="C17" t="s">
        <v>219</v>
      </c>
      <c r="D17" t="s">
        <v>219</v>
      </c>
    </row>
    <row r="18" spans="3:4">
      <c r="C18" t="s">
        <v>219</v>
      </c>
      <c r="D18" t="s">
        <v>219</v>
      </c>
    </row>
    <row r="19" spans="3:4">
      <c r="C19" t="s">
        <v>219</v>
      </c>
      <c r="D19" t="s">
        <v>219</v>
      </c>
    </row>
    <row r="20" spans="3:4">
      <c r="C20" t="s">
        <v>219</v>
      </c>
      <c r="D20" t="s">
        <v>219</v>
      </c>
    </row>
    <row r="21" spans="3:4">
      <c r="C21" t="s">
        <v>219</v>
      </c>
      <c r="D21" t="s">
        <v>219</v>
      </c>
    </row>
    <row r="22" spans="3:4">
      <c r="C22" t="s">
        <v>219</v>
      </c>
      <c r="D22" t="s">
        <v>219</v>
      </c>
    </row>
    <row r="23" spans="3:4">
      <c r="C23" t="s">
        <v>219</v>
      </c>
      <c r="D23" t="s">
        <v>219</v>
      </c>
    </row>
    <row r="24" spans="3:4">
      <c r="C24" t="s">
        <v>219</v>
      </c>
      <c r="D24" t="s">
        <v>219</v>
      </c>
    </row>
    <row r="25" spans="3:4">
      <c r="C25" t="s">
        <v>219</v>
      </c>
      <c r="D25" t="s">
        <v>219</v>
      </c>
    </row>
    <row r="26" spans="3:4">
      <c r="C26" t="s">
        <v>219</v>
      </c>
      <c r="D26" t="s">
        <v>219</v>
      </c>
    </row>
    <row r="27" spans="3:4">
      <c r="C27" t="s">
        <v>219</v>
      </c>
      <c r="D27" t="s">
        <v>219</v>
      </c>
    </row>
    <row r="28" spans="3:4">
      <c r="C28" t="s">
        <v>219</v>
      </c>
      <c r="D28" t="s">
        <v>219</v>
      </c>
    </row>
    <row r="29" spans="3:4">
      <c r="C29" t="s">
        <v>219</v>
      </c>
      <c r="D29" t="s">
        <v>219</v>
      </c>
    </row>
    <row r="30" spans="3:4">
      <c r="C30" t="s">
        <v>219</v>
      </c>
      <c r="D30" t="s">
        <v>219</v>
      </c>
    </row>
    <row r="31" spans="3:4">
      <c r="C31" t="s">
        <v>219</v>
      </c>
      <c r="D31" t="s">
        <v>219</v>
      </c>
    </row>
    <row r="32" spans="3:4">
      <c r="C32" t="s">
        <v>219</v>
      </c>
      <c r="D32" t="s">
        <v>219</v>
      </c>
    </row>
    <row r="33" spans="3:4">
      <c r="C33" t="s">
        <v>219</v>
      </c>
      <c r="D33" t="s">
        <v>219</v>
      </c>
    </row>
    <row r="34" spans="3:4">
      <c r="C34" t="s">
        <v>219</v>
      </c>
      <c r="D34" t="s">
        <v>219</v>
      </c>
    </row>
    <row r="35" spans="3:4">
      <c r="C35" t="s">
        <v>219</v>
      </c>
      <c r="D35" t="s">
        <v>219</v>
      </c>
    </row>
    <row r="36" spans="3:4">
      <c r="C36" t="s">
        <v>219</v>
      </c>
      <c r="D36" t="s">
        <v>219</v>
      </c>
    </row>
    <row r="37" spans="3:4">
      <c r="C37" t="s">
        <v>219</v>
      </c>
      <c r="D37" t="s">
        <v>219</v>
      </c>
    </row>
    <row r="38" spans="3:4">
      <c r="C38" t="s">
        <v>219</v>
      </c>
      <c r="D38" t="s">
        <v>219</v>
      </c>
    </row>
    <row r="39" spans="3:4">
      <c r="C39" t="s">
        <v>219</v>
      </c>
      <c r="D39" t="s">
        <v>219</v>
      </c>
    </row>
    <row r="40" spans="3:4">
      <c r="C40" t="s">
        <v>219</v>
      </c>
      <c r="D40" t="s">
        <v>219</v>
      </c>
    </row>
    <row r="41" spans="3:4">
      <c r="C41" t="s">
        <v>219</v>
      </c>
      <c r="D41" t="s">
        <v>219</v>
      </c>
    </row>
    <row r="42" spans="3:4">
      <c r="C42" t="s">
        <v>219</v>
      </c>
      <c r="D42" t="s">
        <v>219</v>
      </c>
    </row>
    <row r="43" spans="3:4">
      <c r="C43" t="s">
        <v>219</v>
      </c>
      <c r="D43" t="s">
        <v>219</v>
      </c>
    </row>
    <row r="44" spans="3:4">
      <c r="C44" t="s">
        <v>219</v>
      </c>
      <c r="D44" t="s">
        <v>219</v>
      </c>
    </row>
    <row r="45" spans="3:4">
      <c r="C45" t="s">
        <v>219</v>
      </c>
      <c r="D45" t="s">
        <v>219</v>
      </c>
    </row>
    <row r="46" spans="3:4">
      <c r="C46" t="s">
        <v>219</v>
      </c>
      <c r="D46" t="s">
        <v>219</v>
      </c>
    </row>
    <row r="47" spans="3:4">
      <c r="C47" t="s">
        <v>219</v>
      </c>
      <c r="D47" t="s">
        <v>219</v>
      </c>
    </row>
    <row r="48" spans="3:4">
      <c r="C48" t="s">
        <v>219</v>
      </c>
      <c r="D48" t="s">
        <v>219</v>
      </c>
    </row>
    <row r="49" spans="3:4">
      <c r="C49" t="s">
        <v>219</v>
      </c>
      <c r="D49" t="s">
        <v>219</v>
      </c>
    </row>
    <row r="50" spans="3:4">
      <c r="C50" t="s">
        <v>219</v>
      </c>
      <c r="D50" t="s">
        <v>219</v>
      </c>
    </row>
    <row r="51" spans="3:4">
      <c r="C51" t="s">
        <v>219</v>
      </c>
      <c r="D51" t="s">
        <v>219</v>
      </c>
    </row>
    <row r="52" spans="3:4">
      <c r="C52" t="s">
        <v>219</v>
      </c>
      <c r="D52" t="s">
        <v>219</v>
      </c>
    </row>
    <row r="53" spans="3:4">
      <c r="C53" t="s">
        <v>219</v>
      </c>
      <c r="D53" t="s">
        <v>219</v>
      </c>
    </row>
    <row r="54" spans="3:4">
      <c r="C54" t="s">
        <v>219</v>
      </c>
      <c r="D54" t="s">
        <v>219</v>
      </c>
    </row>
    <row r="55" spans="3:4">
      <c r="C55" t="s">
        <v>219</v>
      </c>
      <c r="D55" t="s">
        <v>219</v>
      </c>
    </row>
    <row r="56" spans="3:4">
      <c r="C56" t="s">
        <v>219</v>
      </c>
      <c r="D56" t="s">
        <v>219</v>
      </c>
    </row>
    <row r="57" spans="3:4">
      <c r="C57" t="s">
        <v>219</v>
      </c>
      <c r="D57" t="s">
        <v>219</v>
      </c>
    </row>
    <row r="58" spans="3:4">
      <c r="C58" t="s">
        <v>219</v>
      </c>
      <c r="D58" t="s">
        <v>219</v>
      </c>
    </row>
    <row r="59" spans="3:4">
      <c r="C59" t="s">
        <v>219</v>
      </c>
      <c r="D59" t="s">
        <v>219</v>
      </c>
    </row>
    <row r="60" spans="3:4">
      <c r="C60" t="s">
        <v>219</v>
      </c>
      <c r="D60" t="s">
        <v>219</v>
      </c>
    </row>
    <row r="61" spans="3:4">
      <c r="C61" t="s">
        <v>219</v>
      </c>
      <c r="D61" t="s">
        <v>219</v>
      </c>
    </row>
    <row r="62" spans="3:4">
      <c r="C62" t="s">
        <v>219</v>
      </c>
      <c r="D62" t="s">
        <v>219</v>
      </c>
    </row>
    <row r="63" spans="3:4">
      <c r="C63" t="s">
        <v>219</v>
      </c>
      <c r="D63" t="s">
        <v>219</v>
      </c>
    </row>
    <row r="64" spans="3:4">
      <c r="C64" t="s">
        <v>219</v>
      </c>
      <c r="D64" t="s">
        <v>219</v>
      </c>
    </row>
    <row r="65" spans="3:4">
      <c r="C65" t="s">
        <v>219</v>
      </c>
      <c r="D65" t="s">
        <v>219</v>
      </c>
    </row>
  </sheetData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217</v>
      </c>
      <c r="D7" t="s">
        <v>217</v>
      </c>
    </row>
    <row r="8" spans="3:4">
      <c r="C8" t="s">
        <v>217</v>
      </c>
      <c r="D8" t="s">
        <v>217</v>
      </c>
    </row>
    <row r="9" spans="3:4">
      <c r="C9" t="s">
        <v>217</v>
      </c>
      <c r="D9" t="s">
        <v>217</v>
      </c>
    </row>
    <row r="10" spans="3:4">
      <c r="C10" t="s">
        <v>217</v>
      </c>
      <c r="D10" t="s">
        <v>217</v>
      </c>
    </row>
    <row r="11" spans="3:4">
      <c r="C11" t="s">
        <v>217</v>
      </c>
      <c r="D11" t="s">
        <v>217</v>
      </c>
    </row>
    <row r="12" spans="3:4">
      <c r="C12" t="s">
        <v>217</v>
      </c>
      <c r="D12" t="s">
        <v>217</v>
      </c>
    </row>
    <row r="13" spans="3:4">
      <c r="C13" t="s">
        <v>217</v>
      </c>
      <c r="D13" t="s">
        <v>217</v>
      </c>
    </row>
    <row r="14" spans="3:4">
      <c r="C14" t="s">
        <v>217</v>
      </c>
      <c r="D14" t="s">
        <v>217</v>
      </c>
    </row>
    <row r="15" spans="3:4">
      <c r="C15" t="s">
        <v>217</v>
      </c>
      <c r="D15" t="s">
        <v>217</v>
      </c>
    </row>
    <row r="16" spans="3:4">
      <c r="C16" t="s">
        <v>217</v>
      </c>
      <c r="D16" t="s">
        <v>217</v>
      </c>
    </row>
    <row r="17" spans="3:4">
      <c r="C17" t="s">
        <v>217</v>
      </c>
      <c r="D17" t="s">
        <v>217</v>
      </c>
    </row>
    <row r="18" spans="3:4">
      <c r="C18" t="s">
        <v>217</v>
      </c>
      <c r="D18" t="s">
        <v>217</v>
      </c>
    </row>
    <row r="19" spans="3:4">
      <c r="C19" t="s">
        <v>217</v>
      </c>
      <c r="D19" t="s">
        <v>217</v>
      </c>
    </row>
    <row r="20" spans="3:4">
      <c r="C20" t="s">
        <v>217</v>
      </c>
      <c r="D20" t="s">
        <v>217</v>
      </c>
    </row>
    <row r="21" spans="3:4">
      <c r="C21" t="s">
        <v>217</v>
      </c>
      <c r="D21" t="s">
        <v>217</v>
      </c>
    </row>
    <row r="22" spans="3:4">
      <c r="C22" t="s">
        <v>217</v>
      </c>
      <c r="D22" t="s">
        <v>217</v>
      </c>
    </row>
    <row r="23" spans="3:4">
      <c r="C23" t="s">
        <v>217</v>
      </c>
      <c r="D23" t="s">
        <v>217</v>
      </c>
    </row>
    <row r="24" spans="3:4">
      <c r="C24" t="s">
        <v>217</v>
      </c>
      <c r="D24" t="s">
        <v>217</v>
      </c>
    </row>
    <row r="25" spans="3:4">
      <c r="C25" t="s">
        <v>217</v>
      </c>
      <c r="D25" t="s">
        <v>217</v>
      </c>
    </row>
    <row r="26" spans="3:4">
      <c r="C26" t="s">
        <v>217</v>
      </c>
      <c r="D26" t="s">
        <v>217</v>
      </c>
    </row>
    <row r="27" spans="3:4">
      <c r="C27" t="s">
        <v>217</v>
      </c>
      <c r="D27" t="s">
        <v>217</v>
      </c>
    </row>
    <row r="28" spans="3:4">
      <c r="C28" t="s">
        <v>217</v>
      </c>
      <c r="D28" t="s">
        <v>217</v>
      </c>
    </row>
    <row r="29" spans="3:4">
      <c r="C29" t="s">
        <v>217</v>
      </c>
      <c r="D29" t="s">
        <v>217</v>
      </c>
    </row>
    <row r="30" spans="3:4">
      <c r="C30" t="s">
        <v>217</v>
      </c>
      <c r="D30" t="s">
        <v>217</v>
      </c>
    </row>
    <row r="31" spans="3:4">
      <c r="C31" t="s">
        <v>217</v>
      </c>
      <c r="D31" t="s">
        <v>217</v>
      </c>
    </row>
    <row r="32" spans="3:4">
      <c r="C32" t="s">
        <v>217</v>
      </c>
      <c r="D32" t="s">
        <v>217</v>
      </c>
    </row>
    <row r="33" spans="3:4">
      <c r="C33" t="s">
        <v>217</v>
      </c>
      <c r="D33" t="s">
        <v>217</v>
      </c>
    </row>
    <row r="34" spans="3:4">
      <c r="C34" t="s">
        <v>217</v>
      </c>
      <c r="D34" t="s">
        <v>217</v>
      </c>
    </row>
    <row r="35" spans="3:4">
      <c r="C35" t="s">
        <v>217</v>
      </c>
      <c r="D35" t="s">
        <v>217</v>
      </c>
    </row>
    <row r="36" spans="3:4">
      <c r="C36" t="s">
        <v>217</v>
      </c>
      <c r="D36" t="s">
        <v>217</v>
      </c>
    </row>
    <row r="37" spans="3:4">
      <c r="C37" t="s">
        <v>217</v>
      </c>
      <c r="D37" t="s">
        <v>217</v>
      </c>
    </row>
    <row r="38" spans="3:4">
      <c r="C38" t="s">
        <v>217</v>
      </c>
      <c r="D38" t="s">
        <v>217</v>
      </c>
    </row>
    <row r="39" spans="3:4">
      <c r="C39" t="s">
        <v>217</v>
      </c>
      <c r="D39" t="s">
        <v>217</v>
      </c>
    </row>
    <row r="40" spans="3:4">
      <c r="C40" t="s">
        <v>217</v>
      </c>
      <c r="D40" t="s">
        <v>217</v>
      </c>
    </row>
    <row r="41" spans="3:4">
      <c r="C41" t="s">
        <v>217</v>
      </c>
      <c r="D41" t="s">
        <v>217</v>
      </c>
    </row>
    <row r="42" spans="3:4">
      <c r="C42" t="s">
        <v>217</v>
      </c>
      <c r="D42" t="s">
        <v>217</v>
      </c>
    </row>
    <row r="43" spans="3:4">
      <c r="C43" t="s">
        <v>217</v>
      </c>
      <c r="D43" t="s">
        <v>217</v>
      </c>
    </row>
    <row r="44" spans="3:4">
      <c r="C44" t="s">
        <v>217</v>
      </c>
      <c r="D44" t="s">
        <v>217</v>
      </c>
    </row>
    <row r="45" spans="3:4">
      <c r="C45" t="s">
        <v>217</v>
      </c>
      <c r="D45" t="s">
        <v>217</v>
      </c>
    </row>
    <row r="46" spans="3:4">
      <c r="C46" t="s">
        <v>217</v>
      </c>
      <c r="D46" t="s">
        <v>217</v>
      </c>
    </row>
    <row r="47" spans="3:4">
      <c r="C47" t="s">
        <v>217</v>
      </c>
      <c r="D47" t="s">
        <v>217</v>
      </c>
    </row>
    <row r="48" spans="3:4">
      <c r="C48" t="s">
        <v>217</v>
      </c>
      <c r="D48" t="s">
        <v>217</v>
      </c>
    </row>
    <row r="49" spans="3:4">
      <c r="C49" t="s">
        <v>217</v>
      </c>
      <c r="D49" t="s">
        <v>217</v>
      </c>
    </row>
    <row r="50" spans="3:4">
      <c r="C50" t="s">
        <v>217</v>
      </c>
      <c r="D50" t="s">
        <v>217</v>
      </c>
    </row>
    <row r="51" spans="3:4">
      <c r="C51" t="s">
        <v>217</v>
      </c>
      <c r="D51" t="s">
        <v>217</v>
      </c>
    </row>
    <row r="52" spans="3:4">
      <c r="C52" t="s">
        <v>217</v>
      </c>
      <c r="D52" t="s">
        <v>217</v>
      </c>
    </row>
    <row r="53" spans="3:4">
      <c r="C53" t="s">
        <v>217</v>
      </c>
      <c r="D53" t="s">
        <v>217</v>
      </c>
    </row>
    <row r="54" spans="3:4">
      <c r="C54" t="s">
        <v>217</v>
      </c>
      <c r="D54" t="s">
        <v>217</v>
      </c>
    </row>
    <row r="55" spans="3:4">
      <c r="C55" t="s">
        <v>217</v>
      </c>
      <c r="D55" t="s">
        <v>217</v>
      </c>
    </row>
    <row r="56" spans="3:4">
      <c r="C56" t="s">
        <v>217</v>
      </c>
      <c r="D56" t="s">
        <v>217</v>
      </c>
    </row>
    <row r="57" spans="3:4">
      <c r="C57" t="s">
        <v>217</v>
      </c>
      <c r="D57" t="s">
        <v>217</v>
      </c>
    </row>
    <row r="58" spans="3:4">
      <c r="C58" t="s">
        <v>217</v>
      </c>
      <c r="D58" t="s">
        <v>217</v>
      </c>
    </row>
    <row r="59" spans="3:4">
      <c r="C59" t="s">
        <v>217</v>
      </c>
      <c r="D59" t="s">
        <v>217</v>
      </c>
    </row>
    <row r="60" spans="3:4">
      <c r="C60" t="s">
        <v>217</v>
      </c>
      <c r="D60" t="s">
        <v>217</v>
      </c>
    </row>
    <row r="61" spans="3:4">
      <c r="C61" t="s">
        <v>217</v>
      </c>
      <c r="D61" t="s">
        <v>217</v>
      </c>
    </row>
    <row r="62" spans="3:4">
      <c r="C62" t="s">
        <v>217</v>
      </c>
      <c r="D62" t="s">
        <v>217</v>
      </c>
    </row>
    <row r="63" spans="3:4">
      <c r="C63" t="s">
        <v>217</v>
      </c>
      <c r="D63" t="s">
        <v>217</v>
      </c>
    </row>
    <row r="64" spans="3:4">
      <c r="C64" t="s">
        <v>217</v>
      </c>
      <c r="D64" t="s">
        <v>217</v>
      </c>
    </row>
    <row r="65" spans="3:4">
      <c r="C65" t="s">
        <v>217</v>
      </c>
      <c r="D65" t="s">
        <v>217</v>
      </c>
    </row>
  </sheetData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215</v>
      </c>
      <c r="D7" t="s">
        <v>215</v>
      </c>
    </row>
    <row r="8" spans="3:4">
      <c r="C8" t="s">
        <v>215</v>
      </c>
      <c r="D8" t="s">
        <v>215</v>
      </c>
    </row>
    <row r="9" spans="3:4">
      <c r="C9" t="s">
        <v>215</v>
      </c>
      <c r="D9" t="s">
        <v>215</v>
      </c>
    </row>
    <row r="10" spans="3:4">
      <c r="C10" t="s">
        <v>215</v>
      </c>
      <c r="D10" t="s">
        <v>215</v>
      </c>
    </row>
    <row r="11" spans="3:4">
      <c r="C11" t="s">
        <v>215</v>
      </c>
      <c r="D11" t="s">
        <v>215</v>
      </c>
    </row>
    <row r="12" spans="3:4">
      <c r="C12" t="s">
        <v>215</v>
      </c>
      <c r="D12" t="s">
        <v>215</v>
      </c>
    </row>
    <row r="13" spans="3:4">
      <c r="C13" t="s">
        <v>215</v>
      </c>
      <c r="D13" t="s">
        <v>215</v>
      </c>
    </row>
    <row r="14" spans="3:4">
      <c r="C14" t="s">
        <v>215</v>
      </c>
      <c r="D14" t="s">
        <v>215</v>
      </c>
    </row>
    <row r="15" spans="3:4">
      <c r="C15" t="s">
        <v>215</v>
      </c>
      <c r="D15" t="s">
        <v>215</v>
      </c>
    </row>
    <row r="16" spans="3:4">
      <c r="C16" t="s">
        <v>215</v>
      </c>
      <c r="D16" t="s">
        <v>215</v>
      </c>
    </row>
    <row r="17" spans="3:4">
      <c r="C17" t="s">
        <v>215</v>
      </c>
      <c r="D17" t="s">
        <v>215</v>
      </c>
    </row>
    <row r="18" spans="3:4">
      <c r="C18" t="s">
        <v>215</v>
      </c>
      <c r="D18" t="s">
        <v>215</v>
      </c>
    </row>
    <row r="19" spans="3:4">
      <c r="C19" t="s">
        <v>215</v>
      </c>
      <c r="D19" t="s">
        <v>215</v>
      </c>
    </row>
    <row r="20" spans="3:4">
      <c r="C20" t="s">
        <v>215</v>
      </c>
      <c r="D20" t="s">
        <v>215</v>
      </c>
    </row>
    <row r="21" spans="3:4">
      <c r="C21" t="s">
        <v>215</v>
      </c>
      <c r="D21" t="s">
        <v>215</v>
      </c>
    </row>
    <row r="22" spans="3:4">
      <c r="C22" t="s">
        <v>215</v>
      </c>
      <c r="D22" t="s">
        <v>215</v>
      </c>
    </row>
    <row r="23" spans="3:4">
      <c r="C23" t="s">
        <v>215</v>
      </c>
      <c r="D23" t="s">
        <v>215</v>
      </c>
    </row>
    <row r="24" spans="3:4">
      <c r="C24" t="s">
        <v>215</v>
      </c>
      <c r="D24" t="s">
        <v>215</v>
      </c>
    </row>
    <row r="25" spans="3:4">
      <c r="C25" t="s">
        <v>215</v>
      </c>
      <c r="D25" t="s">
        <v>215</v>
      </c>
    </row>
    <row r="26" spans="3:4">
      <c r="C26" t="s">
        <v>215</v>
      </c>
      <c r="D26" t="s">
        <v>215</v>
      </c>
    </row>
    <row r="27" spans="3:4">
      <c r="C27" t="s">
        <v>215</v>
      </c>
      <c r="D27" t="s">
        <v>215</v>
      </c>
    </row>
    <row r="28" spans="3:4">
      <c r="C28" t="s">
        <v>215</v>
      </c>
      <c r="D28" t="s">
        <v>215</v>
      </c>
    </row>
    <row r="29" spans="3:4">
      <c r="C29" t="s">
        <v>215</v>
      </c>
      <c r="D29" t="s">
        <v>215</v>
      </c>
    </row>
    <row r="30" spans="3:4">
      <c r="C30" t="s">
        <v>215</v>
      </c>
      <c r="D30" t="s">
        <v>215</v>
      </c>
    </row>
    <row r="31" spans="3:4">
      <c r="C31" t="s">
        <v>215</v>
      </c>
      <c r="D31" t="s">
        <v>215</v>
      </c>
    </row>
    <row r="32" spans="3:4">
      <c r="C32" t="s">
        <v>215</v>
      </c>
      <c r="D32" t="s">
        <v>215</v>
      </c>
    </row>
    <row r="33" spans="3:4">
      <c r="C33" t="s">
        <v>215</v>
      </c>
      <c r="D33" t="s">
        <v>215</v>
      </c>
    </row>
    <row r="34" spans="3:4">
      <c r="C34" t="s">
        <v>215</v>
      </c>
      <c r="D34" t="s">
        <v>215</v>
      </c>
    </row>
    <row r="35" spans="3:4">
      <c r="C35" t="s">
        <v>215</v>
      </c>
      <c r="D35" t="s">
        <v>215</v>
      </c>
    </row>
    <row r="36" spans="3:4">
      <c r="C36" t="s">
        <v>215</v>
      </c>
      <c r="D36" t="s">
        <v>215</v>
      </c>
    </row>
    <row r="37" spans="3:4">
      <c r="C37" t="s">
        <v>215</v>
      </c>
      <c r="D37" t="s">
        <v>215</v>
      </c>
    </row>
    <row r="38" spans="3:4">
      <c r="C38" t="s">
        <v>215</v>
      </c>
      <c r="D38" t="s">
        <v>215</v>
      </c>
    </row>
    <row r="39" spans="3:4">
      <c r="C39" t="s">
        <v>215</v>
      </c>
      <c r="D39" t="s">
        <v>215</v>
      </c>
    </row>
    <row r="40" spans="3:4">
      <c r="C40" t="s">
        <v>215</v>
      </c>
      <c r="D40" t="s">
        <v>215</v>
      </c>
    </row>
    <row r="41" spans="3:4">
      <c r="C41" t="s">
        <v>215</v>
      </c>
      <c r="D41" t="s">
        <v>215</v>
      </c>
    </row>
    <row r="42" spans="3:4">
      <c r="C42" t="s">
        <v>215</v>
      </c>
      <c r="D42" t="s">
        <v>215</v>
      </c>
    </row>
    <row r="43" spans="3:4">
      <c r="C43" t="s">
        <v>215</v>
      </c>
      <c r="D43" t="s">
        <v>215</v>
      </c>
    </row>
    <row r="44" spans="3:4">
      <c r="C44" t="s">
        <v>215</v>
      </c>
      <c r="D44" t="s">
        <v>215</v>
      </c>
    </row>
    <row r="45" spans="3:4">
      <c r="C45" t="s">
        <v>215</v>
      </c>
      <c r="D45" t="s">
        <v>215</v>
      </c>
    </row>
    <row r="46" spans="3:4">
      <c r="C46" t="s">
        <v>215</v>
      </c>
      <c r="D46" t="s">
        <v>215</v>
      </c>
    </row>
    <row r="47" spans="3:4">
      <c r="C47" t="s">
        <v>215</v>
      </c>
      <c r="D47" t="s">
        <v>215</v>
      </c>
    </row>
    <row r="48" spans="3:4">
      <c r="C48" t="s">
        <v>215</v>
      </c>
      <c r="D48" t="s">
        <v>215</v>
      </c>
    </row>
    <row r="49" spans="3:4">
      <c r="C49" t="s">
        <v>215</v>
      </c>
      <c r="D49" t="s">
        <v>215</v>
      </c>
    </row>
    <row r="50" spans="3:4">
      <c r="C50" t="s">
        <v>215</v>
      </c>
      <c r="D50" t="s">
        <v>215</v>
      </c>
    </row>
    <row r="51" spans="3:4">
      <c r="C51" t="s">
        <v>215</v>
      </c>
      <c r="D51" t="s">
        <v>215</v>
      </c>
    </row>
    <row r="52" spans="3:4">
      <c r="C52" t="s">
        <v>215</v>
      </c>
      <c r="D52" t="s">
        <v>215</v>
      </c>
    </row>
    <row r="53" spans="3:4">
      <c r="C53" t="s">
        <v>215</v>
      </c>
      <c r="D53" t="s">
        <v>215</v>
      </c>
    </row>
    <row r="54" spans="3:4">
      <c r="C54" t="s">
        <v>215</v>
      </c>
      <c r="D54" t="s">
        <v>215</v>
      </c>
    </row>
    <row r="55" spans="3:4">
      <c r="C55" t="s">
        <v>215</v>
      </c>
      <c r="D55" t="s">
        <v>215</v>
      </c>
    </row>
    <row r="56" spans="3:4">
      <c r="C56" t="s">
        <v>215</v>
      </c>
      <c r="D56" t="s">
        <v>215</v>
      </c>
    </row>
    <row r="57" spans="3:4">
      <c r="C57" t="s">
        <v>215</v>
      </c>
      <c r="D57" t="s">
        <v>215</v>
      </c>
    </row>
    <row r="58" spans="3:4">
      <c r="C58" t="s">
        <v>215</v>
      </c>
      <c r="D58" t="s">
        <v>215</v>
      </c>
    </row>
    <row r="59" spans="3:4">
      <c r="C59" t="s">
        <v>215</v>
      </c>
      <c r="D59" t="s">
        <v>215</v>
      </c>
    </row>
    <row r="60" spans="3:4">
      <c r="C60" t="s">
        <v>215</v>
      </c>
      <c r="D60" t="s">
        <v>215</v>
      </c>
    </row>
    <row r="61" spans="3:4">
      <c r="C61" t="s">
        <v>215</v>
      </c>
      <c r="D61" t="s">
        <v>215</v>
      </c>
    </row>
    <row r="62" spans="3:4">
      <c r="C62" t="s">
        <v>215</v>
      </c>
      <c r="D62" t="s">
        <v>215</v>
      </c>
    </row>
    <row r="63" spans="3:4">
      <c r="C63" t="s">
        <v>215</v>
      </c>
      <c r="D63" t="s">
        <v>215</v>
      </c>
    </row>
    <row r="64" spans="3:4">
      <c r="C64" t="s">
        <v>215</v>
      </c>
      <c r="D64" t="s">
        <v>215</v>
      </c>
    </row>
    <row r="65" spans="3:4">
      <c r="C65" t="s">
        <v>215</v>
      </c>
      <c r="D65" t="s">
        <v>215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15" sqref="G15"/>
    </sheetView>
  </sheetViews>
  <sheetFormatPr defaultColWidth="11.7109375" defaultRowHeight="15"/>
  <cols>
    <col min="1" max="1" width="59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258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3964179.87</v>
      </c>
      <c r="D8" s="11">
        <f>D9+D11+D14+D15</f>
        <v>3907086.64</v>
      </c>
    </row>
    <row r="9" spans="1:4" ht="30">
      <c r="A9" s="12" t="s">
        <v>90</v>
      </c>
      <c r="B9" s="13" t="s">
        <v>91</v>
      </c>
      <c r="C9" s="14">
        <f>3385095.71</f>
        <v>3385095.71</v>
      </c>
      <c r="D9" s="15">
        <f>3338105.24</f>
        <v>3338105.24</v>
      </c>
    </row>
    <row r="10" spans="1:4">
      <c r="A10" s="16" t="s">
        <v>92</v>
      </c>
      <c r="B10" s="17" t="s">
        <v>93</v>
      </c>
      <c r="C10" s="18">
        <f>2068890.86789555</f>
        <v>2068890.8678955501</v>
      </c>
      <c r="D10" s="19">
        <f>_38h_E12</f>
        <v>2068890.8678955501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579084.16</v>
      </c>
      <c r="D15" s="15">
        <f>SUM(D16:D24)</f>
        <v>568981.4</v>
      </c>
    </row>
    <row r="16" spans="1:4">
      <c r="A16" s="22" t="s">
        <v>103</v>
      </c>
      <c r="B16" s="17" t="s">
        <v>104</v>
      </c>
      <c r="C16" s="111">
        <v>422483.16</v>
      </c>
      <c r="D16" s="113">
        <v>390249.88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87256.08</f>
        <v>87256.08</v>
      </c>
      <c r="D18" s="19">
        <f>109382.24</f>
        <v>109382.24</v>
      </c>
    </row>
    <row r="19" spans="1:4">
      <c r="A19" s="22" t="s">
        <v>109</v>
      </c>
      <c r="B19" s="17" t="s">
        <v>110</v>
      </c>
      <c r="C19" s="18">
        <f>11824.4</f>
        <v>11824.4</v>
      </c>
      <c r="D19" s="19">
        <f>11832.34</f>
        <v>11832.34</v>
      </c>
    </row>
    <row r="20" spans="1:4">
      <c r="A20" s="22" t="s">
        <v>111</v>
      </c>
      <c r="B20" s="17" t="s">
        <v>112</v>
      </c>
      <c r="C20" s="18">
        <f>8158.16</f>
        <v>8158.16</v>
      </c>
      <c r="D20" s="19">
        <f>8154.58</f>
        <v>8154.58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49362.36</f>
        <v>49362.36</v>
      </c>
      <c r="D22" s="19">
        <f>49362.36</f>
        <v>49362.36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1724316.5700000597</v>
      </c>
      <c r="D25" s="15">
        <f>D26+D27+D30+D28+D29+D31</f>
        <v>1646933.81</v>
      </c>
    </row>
    <row r="26" spans="1:4" ht="23.25" customHeight="1">
      <c r="A26" s="24" t="s">
        <v>123</v>
      </c>
      <c r="B26" s="20" t="s">
        <v>124</v>
      </c>
      <c r="C26" s="18">
        <f>884290.92</f>
        <v>884290.92</v>
      </c>
      <c r="D26" s="19">
        <f>881220.47</f>
        <v>881220.47</v>
      </c>
    </row>
    <row r="27" spans="1:4" ht="45">
      <c r="A27" s="24" t="s">
        <v>125</v>
      </c>
      <c r="B27" s="20" t="s">
        <v>126</v>
      </c>
      <c r="C27" s="18">
        <f>52107.84</f>
        <v>52107.839999999997</v>
      </c>
      <c r="D27" s="19">
        <f>52107.99</f>
        <v>52107.99</v>
      </c>
    </row>
    <row r="28" spans="1:4" ht="36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67013.88</f>
        <v>67013.88</v>
      </c>
      <c r="D29" s="19">
        <f>66428.07</f>
        <v>66428.070000000007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312447.93000005954</v>
      </c>
      <c r="D31" s="15">
        <f>SUM(D32:D39)</f>
        <v>238721.28</v>
      </c>
    </row>
    <row r="32" spans="1:4" ht="21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70716.12</f>
        <v>70716.12</v>
      </c>
      <c r="D33" s="19">
        <f>63144.06</f>
        <v>63144.06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</f>
        <v>129630.1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65036.6500000596</f>
        <v>65036.650000059599</v>
      </c>
      <c r="D39" s="19">
        <f>0</f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40155.360000000001</v>
      </c>
      <c r="D45" s="27">
        <f>SUM(D46:D48)</f>
        <v>44344.380000000005</v>
      </c>
    </row>
    <row r="46" spans="1:4">
      <c r="A46" s="21" t="s">
        <v>163</v>
      </c>
      <c r="B46" s="17" t="s">
        <v>164</v>
      </c>
      <c r="C46" s="18">
        <f>38834.64</f>
        <v>38834.639999999999</v>
      </c>
      <c r="D46" s="19">
        <f>43023.66</f>
        <v>43023.66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453000.6</f>
        <v>453000.6</v>
      </c>
      <c r="D49" s="30">
        <f>583287.57</f>
        <v>583287.56999999995</v>
      </c>
    </row>
    <row r="50" spans="1:4">
      <c r="A50" s="8" t="s">
        <v>169</v>
      </c>
      <c r="B50" s="9" t="s">
        <v>170</v>
      </c>
      <c r="C50" s="14">
        <f>C8+C25+C40+C41+C42+C43+C44+C45+C49+C51+C52</f>
        <v>6181652.40000006</v>
      </c>
      <c r="D50" s="15">
        <f>D8+D25+D40+D41+D42+D43+D44+D45+D49+D51+D52</f>
        <v>6181652.4000000004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3656517.3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3440280.42</f>
        <v>3440280.42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216236.88</f>
        <v>216236.88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1802976</f>
        <v>1802976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5459493.2999999998</v>
      </c>
      <c r="D59" s="27">
        <f>D54+D57+D58</f>
        <v>0</v>
      </c>
    </row>
    <row r="60" spans="1:4" ht="25.5">
      <c r="A60" s="33" t="s">
        <v>188</v>
      </c>
      <c r="B60" s="9"/>
      <c r="C60" s="34">
        <v>22946</v>
      </c>
      <c r="D60" s="35">
        <v>22946</v>
      </c>
    </row>
    <row r="61" spans="1:4" ht="15.75" thickBot="1">
      <c r="A61" s="36" t="s">
        <v>189</v>
      </c>
      <c r="B61" s="37"/>
      <c r="C61" s="38">
        <f>(C50+C51+C52)/C60/12</f>
        <v>22.450000000000216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213</v>
      </c>
      <c r="D7" t="s">
        <v>213</v>
      </c>
    </row>
    <row r="8" spans="3:4">
      <c r="C8" t="s">
        <v>213</v>
      </c>
      <c r="D8" t="s">
        <v>213</v>
      </c>
    </row>
    <row r="9" spans="3:4">
      <c r="C9" t="s">
        <v>213</v>
      </c>
      <c r="D9" t="s">
        <v>213</v>
      </c>
    </row>
    <row r="10" spans="3:4">
      <c r="C10" t="s">
        <v>213</v>
      </c>
      <c r="D10" t="s">
        <v>213</v>
      </c>
    </row>
    <row r="11" spans="3:4">
      <c r="C11" t="s">
        <v>213</v>
      </c>
      <c r="D11" t="s">
        <v>213</v>
      </c>
    </row>
    <row r="12" spans="3:4">
      <c r="C12" t="s">
        <v>213</v>
      </c>
      <c r="D12" t="s">
        <v>213</v>
      </c>
    </row>
    <row r="13" spans="3:4">
      <c r="C13" t="s">
        <v>213</v>
      </c>
      <c r="D13" t="s">
        <v>213</v>
      </c>
    </row>
    <row r="14" spans="3:4">
      <c r="C14" t="s">
        <v>213</v>
      </c>
      <c r="D14" t="s">
        <v>213</v>
      </c>
    </row>
    <row r="15" spans="3:4">
      <c r="C15" t="s">
        <v>213</v>
      </c>
      <c r="D15" t="s">
        <v>213</v>
      </c>
    </row>
    <row r="16" spans="3:4">
      <c r="C16" t="s">
        <v>213</v>
      </c>
      <c r="D16" t="s">
        <v>213</v>
      </c>
    </row>
    <row r="17" spans="3:4">
      <c r="C17" t="s">
        <v>213</v>
      </c>
      <c r="D17" t="s">
        <v>213</v>
      </c>
    </row>
    <row r="18" spans="3:4">
      <c r="C18" t="s">
        <v>213</v>
      </c>
      <c r="D18" t="s">
        <v>213</v>
      </c>
    </row>
    <row r="19" spans="3:4">
      <c r="C19" t="s">
        <v>213</v>
      </c>
      <c r="D19" t="s">
        <v>213</v>
      </c>
    </row>
    <row r="20" spans="3:4">
      <c r="C20" t="s">
        <v>213</v>
      </c>
      <c r="D20" t="s">
        <v>213</v>
      </c>
    </row>
    <row r="21" spans="3:4">
      <c r="C21" t="s">
        <v>213</v>
      </c>
      <c r="D21" t="s">
        <v>213</v>
      </c>
    </row>
    <row r="22" spans="3:4">
      <c r="C22" t="s">
        <v>213</v>
      </c>
      <c r="D22" t="s">
        <v>213</v>
      </c>
    </row>
    <row r="23" spans="3:4">
      <c r="C23" t="s">
        <v>213</v>
      </c>
      <c r="D23" t="s">
        <v>213</v>
      </c>
    </row>
    <row r="24" spans="3:4">
      <c r="C24" t="s">
        <v>213</v>
      </c>
      <c r="D24" t="s">
        <v>213</v>
      </c>
    </row>
    <row r="25" spans="3:4">
      <c r="C25" t="s">
        <v>213</v>
      </c>
      <c r="D25" t="s">
        <v>213</v>
      </c>
    </row>
    <row r="26" spans="3:4">
      <c r="C26" t="s">
        <v>213</v>
      </c>
      <c r="D26" t="s">
        <v>213</v>
      </c>
    </row>
    <row r="27" spans="3:4">
      <c r="C27" t="s">
        <v>213</v>
      </c>
      <c r="D27" t="s">
        <v>213</v>
      </c>
    </row>
    <row r="28" spans="3:4">
      <c r="C28" t="s">
        <v>213</v>
      </c>
      <c r="D28" t="s">
        <v>213</v>
      </c>
    </row>
    <row r="29" spans="3:4">
      <c r="C29" t="s">
        <v>213</v>
      </c>
      <c r="D29" t="s">
        <v>213</v>
      </c>
    </row>
    <row r="30" spans="3:4">
      <c r="C30" t="s">
        <v>213</v>
      </c>
      <c r="D30" t="s">
        <v>213</v>
      </c>
    </row>
    <row r="31" spans="3:4">
      <c r="C31" t="s">
        <v>213</v>
      </c>
      <c r="D31" t="s">
        <v>213</v>
      </c>
    </row>
    <row r="32" spans="3:4">
      <c r="C32" t="s">
        <v>213</v>
      </c>
      <c r="D32" t="s">
        <v>213</v>
      </c>
    </row>
    <row r="33" spans="3:4">
      <c r="C33" t="s">
        <v>213</v>
      </c>
      <c r="D33" t="s">
        <v>213</v>
      </c>
    </row>
    <row r="34" spans="3:4">
      <c r="C34" t="s">
        <v>213</v>
      </c>
      <c r="D34" t="s">
        <v>213</v>
      </c>
    </row>
    <row r="35" spans="3:4">
      <c r="C35" t="s">
        <v>213</v>
      </c>
      <c r="D35" t="s">
        <v>213</v>
      </c>
    </row>
    <row r="36" spans="3:4">
      <c r="C36" t="s">
        <v>213</v>
      </c>
      <c r="D36" t="s">
        <v>213</v>
      </c>
    </row>
    <row r="37" spans="3:4">
      <c r="C37" t="s">
        <v>213</v>
      </c>
      <c r="D37" t="s">
        <v>213</v>
      </c>
    </row>
    <row r="38" spans="3:4">
      <c r="C38" t="s">
        <v>213</v>
      </c>
      <c r="D38" t="s">
        <v>213</v>
      </c>
    </row>
    <row r="39" spans="3:4">
      <c r="C39" t="s">
        <v>213</v>
      </c>
      <c r="D39" t="s">
        <v>213</v>
      </c>
    </row>
    <row r="40" spans="3:4">
      <c r="C40" t="s">
        <v>213</v>
      </c>
      <c r="D40" t="s">
        <v>213</v>
      </c>
    </row>
    <row r="41" spans="3:4">
      <c r="C41" t="s">
        <v>213</v>
      </c>
      <c r="D41" t="s">
        <v>213</v>
      </c>
    </row>
    <row r="42" spans="3:4">
      <c r="C42" t="s">
        <v>213</v>
      </c>
      <c r="D42" t="s">
        <v>213</v>
      </c>
    </row>
    <row r="43" spans="3:4">
      <c r="C43" t="s">
        <v>213</v>
      </c>
      <c r="D43" t="s">
        <v>213</v>
      </c>
    </row>
    <row r="44" spans="3:4">
      <c r="C44" t="s">
        <v>213</v>
      </c>
      <c r="D44" t="s">
        <v>213</v>
      </c>
    </row>
    <row r="45" spans="3:4">
      <c r="C45" t="s">
        <v>213</v>
      </c>
      <c r="D45" t="s">
        <v>213</v>
      </c>
    </row>
    <row r="46" spans="3:4">
      <c r="C46" t="s">
        <v>213</v>
      </c>
      <c r="D46" t="s">
        <v>213</v>
      </c>
    </row>
    <row r="47" spans="3:4">
      <c r="C47" t="s">
        <v>213</v>
      </c>
      <c r="D47" t="s">
        <v>213</v>
      </c>
    </row>
    <row r="48" spans="3:4">
      <c r="C48" t="s">
        <v>213</v>
      </c>
      <c r="D48" t="s">
        <v>213</v>
      </c>
    </row>
    <row r="49" spans="3:4">
      <c r="C49" t="s">
        <v>213</v>
      </c>
      <c r="D49" t="s">
        <v>213</v>
      </c>
    </row>
    <row r="50" spans="3:4">
      <c r="C50" t="s">
        <v>213</v>
      </c>
      <c r="D50" t="s">
        <v>213</v>
      </c>
    </row>
    <row r="51" spans="3:4">
      <c r="C51" t="s">
        <v>213</v>
      </c>
      <c r="D51" t="s">
        <v>213</v>
      </c>
    </row>
    <row r="52" spans="3:4">
      <c r="C52" t="s">
        <v>213</v>
      </c>
      <c r="D52" t="s">
        <v>213</v>
      </c>
    </row>
    <row r="53" spans="3:4">
      <c r="C53" t="s">
        <v>213</v>
      </c>
      <c r="D53" t="s">
        <v>213</v>
      </c>
    </row>
    <row r="54" spans="3:4">
      <c r="C54" t="s">
        <v>213</v>
      </c>
      <c r="D54" t="s">
        <v>213</v>
      </c>
    </row>
    <row r="55" spans="3:4">
      <c r="C55" t="s">
        <v>213</v>
      </c>
      <c r="D55" t="s">
        <v>213</v>
      </c>
    </row>
    <row r="56" spans="3:4">
      <c r="C56" t="s">
        <v>213</v>
      </c>
      <c r="D56" t="s">
        <v>213</v>
      </c>
    </row>
    <row r="57" spans="3:4">
      <c r="C57" t="s">
        <v>213</v>
      </c>
      <c r="D57" t="s">
        <v>213</v>
      </c>
    </row>
    <row r="58" spans="3:4">
      <c r="C58" t="s">
        <v>213</v>
      </c>
      <c r="D58" t="s">
        <v>213</v>
      </c>
    </row>
    <row r="59" spans="3:4">
      <c r="C59" t="s">
        <v>213</v>
      </c>
      <c r="D59" t="s">
        <v>213</v>
      </c>
    </row>
    <row r="60" spans="3:4">
      <c r="C60" t="s">
        <v>213</v>
      </c>
      <c r="D60" t="s">
        <v>213</v>
      </c>
    </row>
    <row r="61" spans="3:4">
      <c r="C61" t="s">
        <v>213</v>
      </c>
      <c r="D61" t="s">
        <v>213</v>
      </c>
    </row>
    <row r="62" spans="3:4">
      <c r="C62" t="s">
        <v>213</v>
      </c>
      <c r="D62" t="s">
        <v>213</v>
      </c>
    </row>
    <row r="63" spans="3:4">
      <c r="C63" t="s">
        <v>213</v>
      </c>
      <c r="D63" t="s">
        <v>213</v>
      </c>
    </row>
    <row r="64" spans="3:4">
      <c r="C64" t="s">
        <v>213</v>
      </c>
      <c r="D64" t="s">
        <v>213</v>
      </c>
    </row>
    <row r="65" spans="3:4">
      <c r="C65" t="s">
        <v>213</v>
      </c>
      <c r="D65" t="s">
        <v>213</v>
      </c>
    </row>
  </sheetData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211</v>
      </c>
      <c r="D7" t="s">
        <v>211</v>
      </c>
    </row>
    <row r="8" spans="3:4">
      <c r="C8" t="s">
        <v>211</v>
      </c>
      <c r="D8" t="s">
        <v>211</v>
      </c>
    </row>
    <row r="9" spans="3:4">
      <c r="C9" t="s">
        <v>211</v>
      </c>
      <c r="D9" t="s">
        <v>211</v>
      </c>
    </row>
    <row r="10" spans="3:4">
      <c r="C10" t="s">
        <v>211</v>
      </c>
      <c r="D10" t="s">
        <v>211</v>
      </c>
    </row>
    <row r="11" spans="3:4">
      <c r="C11" t="s">
        <v>211</v>
      </c>
      <c r="D11" t="s">
        <v>211</v>
      </c>
    </row>
    <row r="12" spans="3:4">
      <c r="C12" t="s">
        <v>211</v>
      </c>
      <c r="D12" t="s">
        <v>211</v>
      </c>
    </row>
    <row r="13" spans="3:4">
      <c r="C13" t="s">
        <v>211</v>
      </c>
      <c r="D13" t="s">
        <v>211</v>
      </c>
    </row>
    <row r="14" spans="3:4">
      <c r="C14" t="s">
        <v>211</v>
      </c>
      <c r="D14" t="s">
        <v>211</v>
      </c>
    </row>
    <row r="15" spans="3:4">
      <c r="C15" t="s">
        <v>211</v>
      </c>
      <c r="D15" t="s">
        <v>211</v>
      </c>
    </row>
    <row r="16" spans="3:4">
      <c r="C16" t="s">
        <v>211</v>
      </c>
      <c r="D16" t="s">
        <v>211</v>
      </c>
    </row>
    <row r="17" spans="3:4">
      <c r="C17" t="s">
        <v>211</v>
      </c>
      <c r="D17" t="s">
        <v>211</v>
      </c>
    </row>
    <row r="18" spans="3:4">
      <c r="C18" t="s">
        <v>211</v>
      </c>
      <c r="D18" t="s">
        <v>211</v>
      </c>
    </row>
    <row r="19" spans="3:4">
      <c r="C19" t="s">
        <v>211</v>
      </c>
      <c r="D19" t="s">
        <v>211</v>
      </c>
    </row>
    <row r="20" spans="3:4">
      <c r="C20" t="s">
        <v>211</v>
      </c>
      <c r="D20" t="s">
        <v>211</v>
      </c>
    </row>
    <row r="21" spans="3:4">
      <c r="C21" t="s">
        <v>211</v>
      </c>
      <c r="D21" t="s">
        <v>211</v>
      </c>
    </row>
    <row r="22" spans="3:4">
      <c r="C22" t="s">
        <v>211</v>
      </c>
      <c r="D22" t="s">
        <v>211</v>
      </c>
    </row>
    <row r="23" spans="3:4">
      <c r="C23" t="s">
        <v>211</v>
      </c>
      <c r="D23" t="s">
        <v>211</v>
      </c>
    </row>
    <row r="24" spans="3:4">
      <c r="C24" t="s">
        <v>211</v>
      </c>
      <c r="D24" t="s">
        <v>211</v>
      </c>
    </row>
    <row r="25" spans="3:4">
      <c r="C25" t="s">
        <v>211</v>
      </c>
      <c r="D25" t="s">
        <v>211</v>
      </c>
    </row>
    <row r="26" spans="3:4">
      <c r="C26" t="s">
        <v>211</v>
      </c>
      <c r="D26" t="s">
        <v>211</v>
      </c>
    </row>
    <row r="27" spans="3:4">
      <c r="C27" t="s">
        <v>211</v>
      </c>
      <c r="D27" t="s">
        <v>211</v>
      </c>
    </row>
    <row r="28" spans="3:4">
      <c r="C28" t="s">
        <v>211</v>
      </c>
      <c r="D28" t="s">
        <v>211</v>
      </c>
    </row>
    <row r="29" spans="3:4">
      <c r="C29" t="s">
        <v>211</v>
      </c>
      <c r="D29" t="s">
        <v>211</v>
      </c>
    </row>
    <row r="30" spans="3:4">
      <c r="C30" t="s">
        <v>211</v>
      </c>
      <c r="D30" t="s">
        <v>211</v>
      </c>
    </row>
    <row r="31" spans="3:4">
      <c r="C31" t="s">
        <v>211</v>
      </c>
      <c r="D31" t="s">
        <v>211</v>
      </c>
    </row>
    <row r="32" spans="3:4">
      <c r="C32" t="s">
        <v>211</v>
      </c>
      <c r="D32" t="s">
        <v>211</v>
      </c>
    </row>
    <row r="33" spans="3:4">
      <c r="C33" t="s">
        <v>211</v>
      </c>
      <c r="D33" t="s">
        <v>211</v>
      </c>
    </row>
    <row r="34" spans="3:4">
      <c r="C34" t="s">
        <v>211</v>
      </c>
      <c r="D34" t="s">
        <v>211</v>
      </c>
    </row>
    <row r="35" spans="3:4">
      <c r="C35" t="s">
        <v>211</v>
      </c>
      <c r="D35" t="s">
        <v>211</v>
      </c>
    </row>
    <row r="36" spans="3:4">
      <c r="C36" t="s">
        <v>211</v>
      </c>
      <c r="D36" t="s">
        <v>211</v>
      </c>
    </row>
    <row r="37" spans="3:4">
      <c r="C37" t="s">
        <v>211</v>
      </c>
      <c r="D37" t="s">
        <v>211</v>
      </c>
    </row>
    <row r="38" spans="3:4">
      <c r="C38" t="s">
        <v>211</v>
      </c>
      <c r="D38" t="s">
        <v>211</v>
      </c>
    </row>
    <row r="39" spans="3:4">
      <c r="C39" t="s">
        <v>211</v>
      </c>
      <c r="D39" t="s">
        <v>211</v>
      </c>
    </row>
    <row r="40" spans="3:4">
      <c r="C40" t="s">
        <v>211</v>
      </c>
      <c r="D40" t="s">
        <v>211</v>
      </c>
    </row>
    <row r="41" spans="3:4">
      <c r="C41" t="s">
        <v>211</v>
      </c>
      <c r="D41" t="s">
        <v>211</v>
      </c>
    </row>
    <row r="42" spans="3:4">
      <c r="C42" t="s">
        <v>211</v>
      </c>
      <c r="D42" t="s">
        <v>211</v>
      </c>
    </row>
    <row r="43" spans="3:4">
      <c r="C43" t="s">
        <v>211</v>
      </c>
      <c r="D43" t="s">
        <v>211</v>
      </c>
    </row>
    <row r="44" spans="3:4">
      <c r="C44" t="s">
        <v>211</v>
      </c>
      <c r="D44" t="s">
        <v>211</v>
      </c>
    </row>
    <row r="45" spans="3:4">
      <c r="C45" t="s">
        <v>211</v>
      </c>
      <c r="D45" t="s">
        <v>211</v>
      </c>
    </row>
    <row r="46" spans="3:4">
      <c r="C46" t="s">
        <v>211</v>
      </c>
      <c r="D46" t="s">
        <v>211</v>
      </c>
    </row>
    <row r="47" spans="3:4">
      <c r="C47" t="s">
        <v>211</v>
      </c>
      <c r="D47" t="s">
        <v>211</v>
      </c>
    </row>
    <row r="48" spans="3:4">
      <c r="C48" t="s">
        <v>211</v>
      </c>
      <c r="D48" t="s">
        <v>211</v>
      </c>
    </row>
    <row r="49" spans="3:4">
      <c r="C49" t="s">
        <v>211</v>
      </c>
      <c r="D49" t="s">
        <v>211</v>
      </c>
    </row>
    <row r="50" spans="3:4">
      <c r="C50" t="s">
        <v>211</v>
      </c>
      <c r="D50" t="s">
        <v>211</v>
      </c>
    </row>
    <row r="51" spans="3:4">
      <c r="C51" t="s">
        <v>211</v>
      </c>
      <c r="D51" t="s">
        <v>211</v>
      </c>
    </row>
    <row r="52" spans="3:4">
      <c r="C52" t="s">
        <v>211</v>
      </c>
      <c r="D52" t="s">
        <v>211</v>
      </c>
    </row>
    <row r="53" spans="3:4">
      <c r="C53" t="s">
        <v>211</v>
      </c>
      <c r="D53" t="s">
        <v>211</v>
      </c>
    </row>
    <row r="54" spans="3:4">
      <c r="C54" t="s">
        <v>211</v>
      </c>
      <c r="D54" t="s">
        <v>211</v>
      </c>
    </row>
    <row r="55" spans="3:4">
      <c r="C55" t="s">
        <v>211</v>
      </c>
      <c r="D55" t="s">
        <v>211</v>
      </c>
    </row>
    <row r="56" spans="3:4">
      <c r="C56" t="s">
        <v>211</v>
      </c>
      <c r="D56" t="s">
        <v>211</v>
      </c>
    </row>
    <row r="57" spans="3:4">
      <c r="C57" t="s">
        <v>211</v>
      </c>
      <c r="D57" t="s">
        <v>211</v>
      </c>
    </row>
    <row r="58" spans="3:4">
      <c r="C58" t="s">
        <v>211</v>
      </c>
      <c r="D58" t="s">
        <v>211</v>
      </c>
    </row>
    <row r="59" spans="3:4">
      <c r="C59" t="s">
        <v>211</v>
      </c>
      <c r="D59" t="s">
        <v>211</v>
      </c>
    </row>
    <row r="60" spans="3:4">
      <c r="C60" t="s">
        <v>211</v>
      </c>
      <c r="D60" t="s">
        <v>211</v>
      </c>
    </row>
    <row r="61" spans="3:4">
      <c r="C61" t="s">
        <v>211</v>
      </c>
      <c r="D61" t="s">
        <v>211</v>
      </c>
    </row>
    <row r="62" spans="3:4">
      <c r="C62" t="s">
        <v>211</v>
      </c>
      <c r="D62" t="s">
        <v>211</v>
      </c>
    </row>
    <row r="63" spans="3:4">
      <c r="C63" t="s">
        <v>211</v>
      </c>
      <c r="D63" t="s">
        <v>211</v>
      </c>
    </row>
    <row r="64" spans="3:4">
      <c r="C64" t="s">
        <v>211</v>
      </c>
      <c r="D64" t="s">
        <v>211</v>
      </c>
    </row>
    <row r="65" spans="3:4">
      <c r="C65" t="s">
        <v>211</v>
      </c>
      <c r="D65" t="s">
        <v>211</v>
      </c>
    </row>
  </sheetData>
  <pageMargins left="0.7" right="0.7" top="0.75" bottom="0.75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209</v>
      </c>
      <c r="D7" t="s">
        <v>209</v>
      </c>
    </row>
    <row r="8" spans="3:4">
      <c r="C8" t="s">
        <v>209</v>
      </c>
      <c r="D8" t="s">
        <v>209</v>
      </c>
    </row>
    <row r="9" spans="3:4">
      <c r="C9" t="s">
        <v>209</v>
      </c>
      <c r="D9" t="s">
        <v>209</v>
      </c>
    </row>
    <row r="10" spans="3:4">
      <c r="C10" t="s">
        <v>209</v>
      </c>
      <c r="D10" t="s">
        <v>209</v>
      </c>
    </row>
    <row r="11" spans="3:4">
      <c r="C11" t="s">
        <v>209</v>
      </c>
      <c r="D11" t="s">
        <v>209</v>
      </c>
    </row>
    <row r="12" spans="3:4">
      <c r="C12" t="s">
        <v>209</v>
      </c>
      <c r="D12" t="s">
        <v>209</v>
      </c>
    </row>
    <row r="13" spans="3:4">
      <c r="C13" t="s">
        <v>209</v>
      </c>
      <c r="D13" t="s">
        <v>209</v>
      </c>
    </row>
    <row r="14" spans="3:4">
      <c r="C14" t="s">
        <v>209</v>
      </c>
      <c r="D14" t="s">
        <v>209</v>
      </c>
    </row>
    <row r="15" spans="3:4">
      <c r="C15" t="s">
        <v>209</v>
      </c>
      <c r="D15" t="s">
        <v>209</v>
      </c>
    </row>
    <row r="16" spans="3:4">
      <c r="C16" t="s">
        <v>209</v>
      </c>
      <c r="D16" t="s">
        <v>209</v>
      </c>
    </row>
    <row r="17" spans="3:4">
      <c r="C17" t="s">
        <v>209</v>
      </c>
      <c r="D17" t="s">
        <v>209</v>
      </c>
    </row>
    <row r="18" spans="3:4">
      <c r="C18" t="s">
        <v>209</v>
      </c>
      <c r="D18" t="s">
        <v>209</v>
      </c>
    </row>
    <row r="19" spans="3:4">
      <c r="C19" t="s">
        <v>209</v>
      </c>
      <c r="D19" t="s">
        <v>209</v>
      </c>
    </row>
    <row r="20" spans="3:4">
      <c r="C20" t="s">
        <v>209</v>
      </c>
      <c r="D20" t="s">
        <v>209</v>
      </c>
    </row>
    <row r="21" spans="3:4">
      <c r="C21" t="s">
        <v>209</v>
      </c>
      <c r="D21" t="s">
        <v>209</v>
      </c>
    </row>
    <row r="22" spans="3:4">
      <c r="C22" t="s">
        <v>209</v>
      </c>
      <c r="D22" t="s">
        <v>209</v>
      </c>
    </row>
    <row r="23" spans="3:4">
      <c r="C23" t="s">
        <v>209</v>
      </c>
      <c r="D23" t="s">
        <v>209</v>
      </c>
    </row>
    <row r="24" spans="3:4">
      <c r="C24" t="s">
        <v>209</v>
      </c>
      <c r="D24" t="s">
        <v>209</v>
      </c>
    </row>
    <row r="25" spans="3:4">
      <c r="C25" t="s">
        <v>209</v>
      </c>
      <c r="D25" t="s">
        <v>209</v>
      </c>
    </row>
    <row r="26" spans="3:4">
      <c r="C26" t="s">
        <v>209</v>
      </c>
      <c r="D26" t="s">
        <v>209</v>
      </c>
    </row>
    <row r="27" spans="3:4">
      <c r="C27" t="s">
        <v>209</v>
      </c>
      <c r="D27" t="s">
        <v>209</v>
      </c>
    </row>
    <row r="28" spans="3:4">
      <c r="C28" t="s">
        <v>209</v>
      </c>
      <c r="D28" t="s">
        <v>209</v>
      </c>
    </row>
    <row r="29" spans="3:4">
      <c r="C29" t="s">
        <v>209</v>
      </c>
      <c r="D29" t="s">
        <v>209</v>
      </c>
    </row>
    <row r="30" spans="3:4">
      <c r="C30" t="s">
        <v>209</v>
      </c>
      <c r="D30" t="s">
        <v>209</v>
      </c>
    </row>
    <row r="31" spans="3:4">
      <c r="C31" t="s">
        <v>209</v>
      </c>
      <c r="D31" t="s">
        <v>209</v>
      </c>
    </row>
    <row r="32" spans="3:4">
      <c r="C32" t="s">
        <v>209</v>
      </c>
      <c r="D32" t="s">
        <v>209</v>
      </c>
    </row>
    <row r="33" spans="3:4">
      <c r="C33" t="s">
        <v>209</v>
      </c>
      <c r="D33" t="s">
        <v>209</v>
      </c>
    </row>
    <row r="34" spans="3:4">
      <c r="C34" t="s">
        <v>209</v>
      </c>
      <c r="D34" t="s">
        <v>209</v>
      </c>
    </row>
    <row r="35" spans="3:4">
      <c r="C35" t="s">
        <v>209</v>
      </c>
      <c r="D35" t="s">
        <v>209</v>
      </c>
    </row>
    <row r="36" spans="3:4">
      <c r="C36" t="s">
        <v>209</v>
      </c>
      <c r="D36" t="s">
        <v>209</v>
      </c>
    </row>
    <row r="37" spans="3:4">
      <c r="C37" t="s">
        <v>209</v>
      </c>
      <c r="D37" t="s">
        <v>209</v>
      </c>
    </row>
    <row r="38" spans="3:4">
      <c r="C38" t="s">
        <v>209</v>
      </c>
      <c r="D38" t="s">
        <v>209</v>
      </c>
    </row>
    <row r="39" spans="3:4">
      <c r="C39" t="s">
        <v>209</v>
      </c>
      <c r="D39" t="s">
        <v>209</v>
      </c>
    </row>
    <row r="40" spans="3:4">
      <c r="C40" t="s">
        <v>209</v>
      </c>
      <c r="D40" t="s">
        <v>209</v>
      </c>
    </row>
    <row r="41" spans="3:4">
      <c r="C41" t="s">
        <v>209</v>
      </c>
      <c r="D41" t="s">
        <v>209</v>
      </c>
    </row>
    <row r="42" spans="3:4">
      <c r="C42" t="s">
        <v>209</v>
      </c>
      <c r="D42" t="s">
        <v>209</v>
      </c>
    </row>
    <row r="43" spans="3:4">
      <c r="C43" t="s">
        <v>209</v>
      </c>
      <c r="D43" t="s">
        <v>209</v>
      </c>
    </row>
    <row r="44" spans="3:4">
      <c r="C44" t="s">
        <v>209</v>
      </c>
      <c r="D44" t="s">
        <v>209</v>
      </c>
    </row>
    <row r="45" spans="3:4">
      <c r="C45" t="s">
        <v>209</v>
      </c>
      <c r="D45" t="s">
        <v>209</v>
      </c>
    </row>
    <row r="46" spans="3:4">
      <c r="C46" t="s">
        <v>209</v>
      </c>
      <c r="D46" t="s">
        <v>209</v>
      </c>
    </row>
    <row r="47" spans="3:4">
      <c r="C47" t="s">
        <v>209</v>
      </c>
      <c r="D47" t="s">
        <v>209</v>
      </c>
    </row>
    <row r="48" spans="3:4">
      <c r="C48" t="s">
        <v>209</v>
      </c>
      <c r="D48" t="s">
        <v>209</v>
      </c>
    </row>
    <row r="49" spans="3:4">
      <c r="C49" t="s">
        <v>209</v>
      </c>
      <c r="D49" t="s">
        <v>209</v>
      </c>
    </row>
    <row r="50" spans="3:4">
      <c r="C50" t="s">
        <v>209</v>
      </c>
      <c r="D50" t="s">
        <v>209</v>
      </c>
    </row>
    <row r="51" spans="3:4">
      <c r="C51" t="s">
        <v>209</v>
      </c>
      <c r="D51" t="s">
        <v>209</v>
      </c>
    </row>
    <row r="52" spans="3:4">
      <c r="C52" t="s">
        <v>209</v>
      </c>
      <c r="D52" t="s">
        <v>209</v>
      </c>
    </row>
    <row r="53" spans="3:4">
      <c r="C53" t="s">
        <v>209</v>
      </c>
      <c r="D53" t="s">
        <v>209</v>
      </c>
    </row>
    <row r="54" spans="3:4">
      <c r="C54" t="s">
        <v>209</v>
      </c>
      <c r="D54" t="s">
        <v>209</v>
      </c>
    </row>
    <row r="55" spans="3:4">
      <c r="C55" t="s">
        <v>209</v>
      </c>
      <c r="D55" t="s">
        <v>209</v>
      </c>
    </row>
    <row r="56" spans="3:4">
      <c r="C56" t="s">
        <v>209</v>
      </c>
      <c r="D56" t="s">
        <v>209</v>
      </c>
    </row>
    <row r="57" spans="3:4">
      <c r="C57" t="s">
        <v>209</v>
      </c>
      <c r="D57" t="s">
        <v>209</v>
      </c>
    </row>
    <row r="58" spans="3:4">
      <c r="C58" t="s">
        <v>209</v>
      </c>
      <c r="D58" t="s">
        <v>209</v>
      </c>
    </row>
    <row r="59" spans="3:4">
      <c r="C59" t="s">
        <v>209</v>
      </c>
      <c r="D59" t="s">
        <v>209</v>
      </c>
    </row>
    <row r="60" spans="3:4">
      <c r="C60" t="s">
        <v>209</v>
      </c>
      <c r="D60" t="s">
        <v>209</v>
      </c>
    </row>
    <row r="61" spans="3:4">
      <c r="C61" t="s">
        <v>209</v>
      </c>
      <c r="D61" t="s">
        <v>209</v>
      </c>
    </row>
    <row r="62" spans="3:4">
      <c r="C62" t="s">
        <v>209</v>
      </c>
      <c r="D62" t="s">
        <v>209</v>
      </c>
    </row>
    <row r="63" spans="3:4">
      <c r="C63" t="s">
        <v>209</v>
      </c>
      <c r="D63" t="s">
        <v>209</v>
      </c>
    </row>
    <row r="64" spans="3:4">
      <c r="C64" t="s">
        <v>209</v>
      </c>
      <c r="D64" t="s">
        <v>209</v>
      </c>
    </row>
    <row r="65" spans="3:4">
      <c r="C65" t="s">
        <v>209</v>
      </c>
      <c r="D65" t="s">
        <v>209</v>
      </c>
    </row>
  </sheetData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207</v>
      </c>
      <c r="D7" t="s">
        <v>207</v>
      </c>
    </row>
    <row r="8" spans="3:4">
      <c r="C8" t="s">
        <v>207</v>
      </c>
      <c r="D8" t="s">
        <v>207</v>
      </c>
    </row>
    <row r="9" spans="3:4">
      <c r="C9" t="s">
        <v>207</v>
      </c>
      <c r="D9" t="s">
        <v>207</v>
      </c>
    </row>
    <row r="10" spans="3:4">
      <c r="C10" t="s">
        <v>207</v>
      </c>
      <c r="D10" t="s">
        <v>207</v>
      </c>
    </row>
    <row r="11" spans="3:4">
      <c r="C11" t="s">
        <v>207</v>
      </c>
      <c r="D11" t="s">
        <v>207</v>
      </c>
    </row>
    <row r="12" spans="3:4">
      <c r="C12" t="s">
        <v>207</v>
      </c>
      <c r="D12" t="s">
        <v>207</v>
      </c>
    </row>
    <row r="13" spans="3:4">
      <c r="C13" t="s">
        <v>207</v>
      </c>
      <c r="D13" t="s">
        <v>207</v>
      </c>
    </row>
    <row r="14" spans="3:4">
      <c r="C14" t="s">
        <v>207</v>
      </c>
      <c r="D14" t="s">
        <v>207</v>
      </c>
    </row>
    <row r="15" spans="3:4">
      <c r="C15" t="s">
        <v>207</v>
      </c>
      <c r="D15" t="s">
        <v>207</v>
      </c>
    </row>
    <row r="16" spans="3:4">
      <c r="C16" t="s">
        <v>207</v>
      </c>
      <c r="D16" t="s">
        <v>207</v>
      </c>
    </row>
    <row r="17" spans="3:4">
      <c r="C17" t="s">
        <v>207</v>
      </c>
      <c r="D17" t="s">
        <v>207</v>
      </c>
    </row>
    <row r="18" spans="3:4">
      <c r="C18" t="s">
        <v>207</v>
      </c>
      <c r="D18" t="s">
        <v>207</v>
      </c>
    </row>
    <row r="19" spans="3:4">
      <c r="C19" t="s">
        <v>207</v>
      </c>
      <c r="D19" t="s">
        <v>207</v>
      </c>
    </row>
    <row r="20" spans="3:4">
      <c r="C20" t="s">
        <v>207</v>
      </c>
      <c r="D20" t="s">
        <v>207</v>
      </c>
    </row>
    <row r="21" spans="3:4">
      <c r="C21" t="s">
        <v>207</v>
      </c>
      <c r="D21" t="s">
        <v>207</v>
      </c>
    </row>
    <row r="22" spans="3:4">
      <c r="C22" t="s">
        <v>207</v>
      </c>
      <c r="D22" t="s">
        <v>207</v>
      </c>
    </row>
    <row r="23" spans="3:4">
      <c r="C23" t="s">
        <v>207</v>
      </c>
      <c r="D23" t="s">
        <v>207</v>
      </c>
    </row>
    <row r="24" spans="3:4">
      <c r="C24" t="s">
        <v>207</v>
      </c>
      <c r="D24" t="s">
        <v>207</v>
      </c>
    </row>
    <row r="25" spans="3:4">
      <c r="C25" t="s">
        <v>207</v>
      </c>
      <c r="D25" t="s">
        <v>207</v>
      </c>
    </row>
    <row r="26" spans="3:4">
      <c r="C26" t="s">
        <v>207</v>
      </c>
      <c r="D26" t="s">
        <v>207</v>
      </c>
    </row>
    <row r="27" spans="3:4">
      <c r="C27" t="s">
        <v>207</v>
      </c>
      <c r="D27" t="s">
        <v>207</v>
      </c>
    </row>
    <row r="28" spans="3:4">
      <c r="C28" t="s">
        <v>207</v>
      </c>
      <c r="D28" t="s">
        <v>207</v>
      </c>
    </row>
    <row r="29" spans="3:4">
      <c r="C29" t="s">
        <v>207</v>
      </c>
      <c r="D29" t="s">
        <v>207</v>
      </c>
    </row>
    <row r="30" spans="3:4">
      <c r="C30" t="s">
        <v>207</v>
      </c>
      <c r="D30" t="s">
        <v>207</v>
      </c>
    </row>
    <row r="31" spans="3:4">
      <c r="C31" t="s">
        <v>207</v>
      </c>
      <c r="D31" t="s">
        <v>207</v>
      </c>
    </row>
    <row r="32" spans="3:4">
      <c r="C32" t="s">
        <v>207</v>
      </c>
      <c r="D32" t="s">
        <v>207</v>
      </c>
    </row>
    <row r="33" spans="3:4">
      <c r="C33" t="s">
        <v>207</v>
      </c>
      <c r="D33" t="s">
        <v>207</v>
      </c>
    </row>
    <row r="34" spans="3:4">
      <c r="C34" t="s">
        <v>207</v>
      </c>
      <c r="D34" t="s">
        <v>207</v>
      </c>
    </row>
    <row r="35" spans="3:4">
      <c r="C35" t="s">
        <v>207</v>
      </c>
      <c r="D35" t="s">
        <v>207</v>
      </c>
    </row>
    <row r="36" spans="3:4">
      <c r="C36" t="s">
        <v>207</v>
      </c>
      <c r="D36" t="s">
        <v>207</v>
      </c>
    </row>
    <row r="37" spans="3:4">
      <c r="C37" t="s">
        <v>207</v>
      </c>
      <c r="D37" t="s">
        <v>207</v>
      </c>
    </row>
    <row r="38" spans="3:4">
      <c r="C38" t="s">
        <v>207</v>
      </c>
      <c r="D38" t="s">
        <v>207</v>
      </c>
    </row>
    <row r="39" spans="3:4">
      <c r="C39" t="s">
        <v>207</v>
      </c>
      <c r="D39" t="s">
        <v>207</v>
      </c>
    </row>
    <row r="40" spans="3:4">
      <c r="C40" t="s">
        <v>207</v>
      </c>
      <c r="D40" t="s">
        <v>207</v>
      </c>
    </row>
    <row r="41" spans="3:4">
      <c r="C41" t="s">
        <v>207</v>
      </c>
      <c r="D41" t="s">
        <v>207</v>
      </c>
    </row>
    <row r="42" spans="3:4">
      <c r="C42" t="s">
        <v>207</v>
      </c>
      <c r="D42" t="s">
        <v>207</v>
      </c>
    </row>
    <row r="43" spans="3:4">
      <c r="C43" t="s">
        <v>207</v>
      </c>
      <c r="D43" t="s">
        <v>207</v>
      </c>
    </row>
    <row r="44" spans="3:4">
      <c r="C44" t="s">
        <v>207</v>
      </c>
      <c r="D44" t="s">
        <v>207</v>
      </c>
    </row>
    <row r="45" spans="3:4">
      <c r="C45" t="s">
        <v>207</v>
      </c>
      <c r="D45" t="s">
        <v>207</v>
      </c>
    </row>
    <row r="46" spans="3:4">
      <c r="C46" t="s">
        <v>207</v>
      </c>
      <c r="D46" t="s">
        <v>207</v>
      </c>
    </row>
    <row r="47" spans="3:4">
      <c r="C47" t="s">
        <v>207</v>
      </c>
      <c r="D47" t="s">
        <v>207</v>
      </c>
    </row>
    <row r="48" spans="3:4">
      <c r="C48" t="s">
        <v>207</v>
      </c>
      <c r="D48" t="s">
        <v>207</v>
      </c>
    </row>
    <row r="49" spans="3:4">
      <c r="C49" t="s">
        <v>207</v>
      </c>
      <c r="D49" t="s">
        <v>207</v>
      </c>
    </row>
    <row r="50" spans="3:4">
      <c r="C50" t="s">
        <v>207</v>
      </c>
      <c r="D50" t="s">
        <v>207</v>
      </c>
    </row>
    <row r="51" spans="3:4">
      <c r="C51" t="s">
        <v>207</v>
      </c>
      <c r="D51" t="s">
        <v>207</v>
      </c>
    </row>
    <row r="52" spans="3:4">
      <c r="C52" t="s">
        <v>207</v>
      </c>
      <c r="D52" t="s">
        <v>207</v>
      </c>
    </row>
    <row r="53" spans="3:4">
      <c r="C53" t="s">
        <v>207</v>
      </c>
      <c r="D53" t="s">
        <v>207</v>
      </c>
    </row>
    <row r="54" spans="3:4">
      <c r="C54" t="s">
        <v>207</v>
      </c>
      <c r="D54" t="s">
        <v>207</v>
      </c>
    </row>
    <row r="55" spans="3:4">
      <c r="C55" t="s">
        <v>207</v>
      </c>
      <c r="D55" t="s">
        <v>207</v>
      </c>
    </row>
    <row r="56" spans="3:4">
      <c r="C56" t="s">
        <v>207</v>
      </c>
      <c r="D56" t="s">
        <v>207</v>
      </c>
    </row>
    <row r="57" spans="3:4">
      <c r="C57" t="s">
        <v>207</v>
      </c>
      <c r="D57" t="s">
        <v>207</v>
      </c>
    </row>
    <row r="58" spans="3:4">
      <c r="C58" t="s">
        <v>207</v>
      </c>
      <c r="D58" t="s">
        <v>207</v>
      </c>
    </row>
    <row r="59" spans="3:4">
      <c r="C59" t="s">
        <v>207</v>
      </c>
      <c r="D59" t="s">
        <v>207</v>
      </c>
    </row>
    <row r="60" spans="3:4">
      <c r="C60" t="s">
        <v>207</v>
      </c>
      <c r="D60" t="s">
        <v>207</v>
      </c>
    </row>
    <row r="61" spans="3:4">
      <c r="C61" t="s">
        <v>207</v>
      </c>
      <c r="D61" t="s">
        <v>207</v>
      </c>
    </row>
    <row r="62" spans="3:4">
      <c r="C62" t="s">
        <v>207</v>
      </c>
      <c r="D62" t="s">
        <v>207</v>
      </c>
    </row>
    <row r="63" spans="3:4">
      <c r="C63" t="s">
        <v>207</v>
      </c>
      <c r="D63" t="s">
        <v>207</v>
      </c>
    </row>
    <row r="64" spans="3:4">
      <c r="C64" t="s">
        <v>207</v>
      </c>
      <c r="D64" t="s">
        <v>207</v>
      </c>
    </row>
    <row r="65" spans="3:4">
      <c r="C65" t="s">
        <v>207</v>
      </c>
      <c r="D65" t="s">
        <v>207</v>
      </c>
    </row>
  </sheetData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205</v>
      </c>
      <c r="D7" t="s">
        <v>205</v>
      </c>
    </row>
    <row r="8" spans="3:4">
      <c r="C8" t="s">
        <v>205</v>
      </c>
      <c r="D8" t="s">
        <v>205</v>
      </c>
    </row>
    <row r="9" spans="3:4">
      <c r="C9" t="s">
        <v>205</v>
      </c>
      <c r="D9" t="s">
        <v>205</v>
      </c>
    </row>
    <row r="10" spans="3:4">
      <c r="C10" t="s">
        <v>205</v>
      </c>
      <c r="D10" t="s">
        <v>205</v>
      </c>
    </row>
    <row r="11" spans="3:4">
      <c r="C11" t="s">
        <v>205</v>
      </c>
      <c r="D11" t="s">
        <v>205</v>
      </c>
    </row>
    <row r="12" spans="3:4">
      <c r="C12" t="s">
        <v>205</v>
      </c>
      <c r="D12" t="s">
        <v>205</v>
      </c>
    </row>
    <row r="13" spans="3:4">
      <c r="C13" t="s">
        <v>205</v>
      </c>
      <c r="D13" t="s">
        <v>205</v>
      </c>
    </row>
    <row r="14" spans="3:4">
      <c r="C14" t="s">
        <v>205</v>
      </c>
      <c r="D14" t="s">
        <v>205</v>
      </c>
    </row>
    <row r="15" spans="3:4">
      <c r="C15" t="s">
        <v>205</v>
      </c>
      <c r="D15" t="s">
        <v>205</v>
      </c>
    </row>
    <row r="16" spans="3:4">
      <c r="C16" t="s">
        <v>205</v>
      </c>
      <c r="D16" t="s">
        <v>205</v>
      </c>
    </row>
    <row r="17" spans="3:4">
      <c r="C17" t="s">
        <v>205</v>
      </c>
      <c r="D17" t="s">
        <v>205</v>
      </c>
    </row>
    <row r="18" spans="3:4">
      <c r="C18" t="s">
        <v>205</v>
      </c>
      <c r="D18" t="s">
        <v>205</v>
      </c>
    </row>
    <row r="19" spans="3:4">
      <c r="C19" t="s">
        <v>205</v>
      </c>
      <c r="D19" t="s">
        <v>205</v>
      </c>
    </row>
    <row r="20" spans="3:4">
      <c r="C20" t="s">
        <v>205</v>
      </c>
      <c r="D20" t="s">
        <v>205</v>
      </c>
    </row>
    <row r="21" spans="3:4">
      <c r="C21" t="s">
        <v>205</v>
      </c>
      <c r="D21" t="s">
        <v>205</v>
      </c>
    </row>
    <row r="22" spans="3:4">
      <c r="C22" t="s">
        <v>205</v>
      </c>
      <c r="D22" t="s">
        <v>205</v>
      </c>
    </row>
    <row r="23" spans="3:4">
      <c r="C23" t="s">
        <v>205</v>
      </c>
      <c r="D23" t="s">
        <v>205</v>
      </c>
    </row>
    <row r="24" spans="3:4">
      <c r="C24" t="s">
        <v>205</v>
      </c>
      <c r="D24" t="s">
        <v>205</v>
      </c>
    </row>
    <row r="25" spans="3:4">
      <c r="C25" t="s">
        <v>205</v>
      </c>
      <c r="D25" t="s">
        <v>205</v>
      </c>
    </row>
    <row r="26" spans="3:4">
      <c r="C26" t="s">
        <v>205</v>
      </c>
      <c r="D26" t="s">
        <v>205</v>
      </c>
    </row>
    <row r="27" spans="3:4">
      <c r="C27" t="s">
        <v>205</v>
      </c>
      <c r="D27" t="s">
        <v>205</v>
      </c>
    </row>
    <row r="28" spans="3:4">
      <c r="C28" t="s">
        <v>205</v>
      </c>
      <c r="D28" t="s">
        <v>205</v>
      </c>
    </row>
    <row r="29" spans="3:4">
      <c r="C29" t="s">
        <v>205</v>
      </c>
      <c r="D29" t="s">
        <v>205</v>
      </c>
    </row>
    <row r="30" spans="3:4">
      <c r="C30" t="s">
        <v>205</v>
      </c>
      <c r="D30" t="s">
        <v>205</v>
      </c>
    </row>
    <row r="31" spans="3:4">
      <c r="C31" t="s">
        <v>205</v>
      </c>
      <c r="D31" t="s">
        <v>205</v>
      </c>
    </row>
    <row r="32" spans="3:4">
      <c r="C32" t="s">
        <v>205</v>
      </c>
      <c r="D32" t="s">
        <v>205</v>
      </c>
    </row>
    <row r="33" spans="3:4">
      <c r="C33" t="s">
        <v>205</v>
      </c>
      <c r="D33" t="s">
        <v>205</v>
      </c>
    </row>
    <row r="34" spans="3:4">
      <c r="C34" t="s">
        <v>205</v>
      </c>
      <c r="D34" t="s">
        <v>205</v>
      </c>
    </row>
    <row r="35" spans="3:4">
      <c r="C35" t="s">
        <v>205</v>
      </c>
      <c r="D35" t="s">
        <v>205</v>
      </c>
    </row>
    <row r="36" spans="3:4">
      <c r="C36" t="s">
        <v>205</v>
      </c>
      <c r="D36" t="s">
        <v>205</v>
      </c>
    </row>
    <row r="37" spans="3:4">
      <c r="C37" t="s">
        <v>205</v>
      </c>
      <c r="D37" t="s">
        <v>205</v>
      </c>
    </row>
    <row r="38" spans="3:4">
      <c r="C38" t="s">
        <v>205</v>
      </c>
      <c r="D38" t="s">
        <v>205</v>
      </c>
    </row>
    <row r="39" spans="3:4">
      <c r="C39" t="s">
        <v>205</v>
      </c>
      <c r="D39" t="s">
        <v>205</v>
      </c>
    </row>
    <row r="40" spans="3:4">
      <c r="C40" t="s">
        <v>205</v>
      </c>
      <c r="D40" t="s">
        <v>205</v>
      </c>
    </row>
    <row r="41" spans="3:4">
      <c r="C41" t="s">
        <v>205</v>
      </c>
      <c r="D41" t="s">
        <v>205</v>
      </c>
    </row>
    <row r="42" spans="3:4">
      <c r="C42" t="s">
        <v>205</v>
      </c>
      <c r="D42" t="s">
        <v>205</v>
      </c>
    </row>
    <row r="43" spans="3:4">
      <c r="C43" t="s">
        <v>205</v>
      </c>
      <c r="D43" t="s">
        <v>205</v>
      </c>
    </row>
    <row r="44" spans="3:4">
      <c r="C44" t="s">
        <v>205</v>
      </c>
      <c r="D44" t="s">
        <v>205</v>
      </c>
    </row>
    <row r="45" spans="3:4">
      <c r="C45" t="s">
        <v>205</v>
      </c>
      <c r="D45" t="s">
        <v>205</v>
      </c>
    </row>
    <row r="46" spans="3:4">
      <c r="C46" t="s">
        <v>205</v>
      </c>
      <c r="D46" t="s">
        <v>205</v>
      </c>
    </row>
    <row r="47" spans="3:4">
      <c r="C47" t="s">
        <v>205</v>
      </c>
      <c r="D47" t="s">
        <v>205</v>
      </c>
    </row>
    <row r="48" spans="3:4">
      <c r="C48" t="s">
        <v>205</v>
      </c>
      <c r="D48" t="s">
        <v>205</v>
      </c>
    </row>
    <row r="49" spans="3:4">
      <c r="C49" t="s">
        <v>205</v>
      </c>
      <c r="D49" t="s">
        <v>205</v>
      </c>
    </row>
    <row r="50" spans="3:4">
      <c r="C50" t="s">
        <v>205</v>
      </c>
      <c r="D50" t="s">
        <v>205</v>
      </c>
    </row>
    <row r="51" spans="3:4">
      <c r="C51" t="s">
        <v>205</v>
      </c>
      <c r="D51" t="s">
        <v>205</v>
      </c>
    </row>
    <row r="52" spans="3:4">
      <c r="C52" t="s">
        <v>205</v>
      </c>
      <c r="D52" t="s">
        <v>205</v>
      </c>
    </row>
    <row r="53" spans="3:4">
      <c r="C53" t="s">
        <v>205</v>
      </c>
      <c r="D53" t="s">
        <v>205</v>
      </c>
    </row>
    <row r="54" spans="3:4">
      <c r="C54" t="s">
        <v>205</v>
      </c>
      <c r="D54" t="s">
        <v>205</v>
      </c>
    </row>
    <row r="55" spans="3:4">
      <c r="C55" t="s">
        <v>205</v>
      </c>
      <c r="D55" t="s">
        <v>205</v>
      </c>
    </row>
    <row r="56" spans="3:4">
      <c r="C56" t="s">
        <v>205</v>
      </c>
      <c r="D56" t="s">
        <v>205</v>
      </c>
    </row>
    <row r="57" spans="3:4">
      <c r="C57" t="s">
        <v>205</v>
      </c>
      <c r="D57" t="s">
        <v>205</v>
      </c>
    </row>
    <row r="58" spans="3:4">
      <c r="C58" t="s">
        <v>205</v>
      </c>
      <c r="D58" t="s">
        <v>205</v>
      </c>
    </row>
    <row r="59" spans="3:4">
      <c r="C59" t="s">
        <v>205</v>
      </c>
      <c r="D59" t="s">
        <v>205</v>
      </c>
    </row>
    <row r="60" spans="3:4">
      <c r="C60" t="s">
        <v>205</v>
      </c>
      <c r="D60" t="s">
        <v>205</v>
      </c>
    </row>
    <row r="61" spans="3:4">
      <c r="C61" t="s">
        <v>205</v>
      </c>
      <c r="D61" t="s">
        <v>205</v>
      </c>
    </row>
    <row r="62" spans="3:4">
      <c r="C62" t="s">
        <v>205</v>
      </c>
      <c r="D62" t="s">
        <v>205</v>
      </c>
    </row>
    <row r="63" spans="3:4">
      <c r="C63" t="s">
        <v>205</v>
      </c>
      <c r="D63" t="s">
        <v>205</v>
      </c>
    </row>
    <row r="64" spans="3:4">
      <c r="C64" t="s">
        <v>205</v>
      </c>
      <c r="D64" t="s">
        <v>205</v>
      </c>
    </row>
    <row r="65" spans="3:4">
      <c r="C65" t="s">
        <v>205</v>
      </c>
      <c r="D65" t="s">
        <v>205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D9" sqref="D9"/>
    </sheetView>
  </sheetViews>
  <sheetFormatPr defaultColWidth="11.7109375" defaultRowHeight="15"/>
  <cols>
    <col min="1" max="1" width="59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260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4049044.41</v>
      </c>
      <c r="D8" s="11">
        <f>D9+D11+D14+D15</f>
        <v>3760969.44</v>
      </c>
    </row>
    <row r="9" spans="1:4" ht="30">
      <c r="A9" s="12" t="s">
        <v>90</v>
      </c>
      <c r="B9" s="13" t="s">
        <v>91</v>
      </c>
      <c r="C9" s="14">
        <f>3525851.93</f>
        <v>3525851.93</v>
      </c>
      <c r="D9" s="15">
        <f>3394581.67</f>
        <v>3394581.67</v>
      </c>
    </row>
    <row r="10" spans="1:4">
      <c r="A10" s="16" t="s">
        <v>92</v>
      </c>
      <c r="B10" s="17" t="s">
        <v>93</v>
      </c>
      <c r="C10" s="18">
        <f>2175100.68356375</f>
        <v>2175100.6835637498</v>
      </c>
      <c r="D10" s="19">
        <f>_39h_E12</f>
        <v>2175100.6835637498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523192.48000000004</v>
      </c>
      <c r="D15" s="15">
        <f>SUM(D16:D24)</f>
        <v>366387.77</v>
      </c>
    </row>
    <row r="16" spans="1:4">
      <c r="A16" s="22" t="s">
        <v>103</v>
      </c>
      <c r="B16" s="17" t="s">
        <v>104</v>
      </c>
      <c r="C16" s="111">
        <v>420779.4</v>
      </c>
      <c r="D16" s="113">
        <v>276718.95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80735.16</f>
        <v>80735.16</v>
      </c>
      <c r="D18" s="19">
        <f>67986.19</f>
        <v>67986.19</v>
      </c>
    </row>
    <row r="19" spans="1:4">
      <c r="A19" s="22" t="s">
        <v>109</v>
      </c>
      <c r="B19" s="17" t="s">
        <v>110</v>
      </c>
      <c r="C19" s="18">
        <f>12799.2</f>
        <v>12799.2</v>
      </c>
      <c r="D19" s="19">
        <f>12807.8</f>
        <v>12807.8</v>
      </c>
    </row>
    <row r="20" spans="1:4">
      <c r="A20" s="22" t="s">
        <v>111</v>
      </c>
      <c r="B20" s="17" t="s">
        <v>112</v>
      </c>
      <c r="C20" s="18">
        <f>8878.72</f>
        <v>8878.7199999999993</v>
      </c>
      <c r="D20" s="19">
        <f>8874.83</f>
        <v>8874.83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1659893.31</v>
      </c>
      <c r="D25" s="15">
        <f>D26+D27+D30+D28+D29+D31</f>
        <v>2012289.2800000003</v>
      </c>
    </row>
    <row r="26" spans="1:4" ht="18.75" customHeight="1">
      <c r="A26" s="24" t="s">
        <v>123</v>
      </c>
      <c r="B26" s="20" t="s">
        <v>124</v>
      </c>
      <c r="C26" s="18">
        <f>884290.92</f>
        <v>884290.92</v>
      </c>
      <c r="D26" s="19">
        <f>878150.02</f>
        <v>878150.02</v>
      </c>
    </row>
    <row r="27" spans="1:4" ht="45">
      <c r="A27" s="24" t="s">
        <v>125</v>
      </c>
      <c r="B27" s="20" t="s">
        <v>126</v>
      </c>
      <c r="C27" s="18">
        <f>52107.84</f>
        <v>52107.839999999997</v>
      </c>
      <c r="D27" s="19">
        <f>52107.99</f>
        <v>52107.99</v>
      </c>
    </row>
    <row r="28" spans="1:4" ht="34.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67253.28</f>
        <v>67253.279999999999</v>
      </c>
      <c r="D29" s="19">
        <f>66665.36</f>
        <v>66665.36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247785.26999999996</v>
      </c>
      <c r="D31" s="15">
        <f>SUM(D32:D39)</f>
        <v>606909.91</v>
      </c>
    </row>
    <row r="32" spans="1:4" ht="21.7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70716.12</f>
        <v>70716.12</v>
      </c>
      <c r="D33" s="19">
        <f>68403.29</f>
        <v>68403.289999999994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</f>
        <v>129630.1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v>373.99</v>
      </c>
      <c r="D39" s="19">
        <f>362929.4</f>
        <v>362929.4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40294.080000000002</v>
      </c>
      <c r="D45" s="27">
        <f>SUM(D46:D48)</f>
        <v>35142.36</v>
      </c>
    </row>
    <row r="46" spans="1:4">
      <c r="A46" s="21" t="s">
        <v>163</v>
      </c>
      <c r="B46" s="17" t="s">
        <v>164</v>
      </c>
      <c r="C46" s="18">
        <f>38973.36</f>
        <v>38973.360000000001</v>
      </c>
      <c r="D46" s="19">
        <f>33821.64</f>
        <v>33821.64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454619.16</f>
        <v>454619.16</v>
      </c>
      <c r="D49" s="30">
        <f>395449.88</f>
        <v>395449.88</v>
      </c>
    </row>
    <row r="50" spans="1:4">
      <c r="A50" s="8" t="s">
        <v>169</v>
      </c>
      <c r="B50" s="9" t="s">
        <v>170</v>
      </c>
      <c r="C50" s="14">
        <f>C8+C25+C40+C41+C42+C43+C44+C45+C49+C51+C52</f>
        <v>6203850.9600000009</v>
      </c>
      <c r="D50" s="15">
        <f>D8+D25+D40+D41+D42+D43+D44+D45+D49+D51+D52</f>
        <v>6203850.9600000009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3695296.86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3491158.26</f>
        <v>3491158.26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204138.6</f>
        <v>204138.6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1836060</f>
        <v>1836060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5531356.8599999994</v>
      </c>
      <c r="D59" s="27">
        <f>D54+D57+D58</f>
        <v>0</v>
      </c>
    </row>
    <row r="60" spans="1:4" ht="25.5">
      <c r="A60" s="33" t="s">
        <v>188</v>
      </c>
      <c r="B60" s="9"/>
      <c r="C60" s="34">
        <v>23028.400000000001</v>
      </c>
      <c r="D60" s="35">
        <v>23028.400000000001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203</v>
      </c>
      <c r="D7" t="s">
        <v>203</v>
      </c>
    </row>
    <row r="8" spans="3:4">
      <c r="C8" t="s">
        <v>203</v>
      </c>
      <c r="D8" t="s">
        <v>203</v>
      </c>
    </row>
    <row r="9" spans="3:4">
      <c r="C9" t="s">
        <v>203</v>
      </c>
      <c r="D9" t="s">
        <v>203</v>
      </c>
    </row>
    <row r="10" spans="3:4">
      <c r="C10" t="s">
        <v>203</v>
      </c>
      <c r="D10" t="s">
        <v>203</v>
      </c>
    </row>
    <row r="11" spans="3:4">
      <c r="C11" t="s">
        <v>203</v>
      </c>
      <c r="D11" t="s">
        <v>203</v>
      </c>
    </row>
    <row r="12" spans="3:4">
      <c r="C12" t="s">
        <v>203</v>
      </c>
      <c r="D12" t="s">
        <v>203</v>
      </c>
    </row>
    <row r="13" spans="3:4">
      <c r="C13" t="s">
        <v>203</v>
      </c>
      <c r="D13" t="s">
        <v>203</v>
      </c>
    </row>
    <row r="14" spans="3:4">
      <c r="C14" t="s">
        <v>203</v>
      </c>
      <c r="D14" t="s">
        <v>203</v>
      </c>
    </row>
    <row r="15" spans="3:4">
      <c r="C15" t="s">
        <v>203</v>
      </c>
      <c r="D15" t="s">
        <v>203</v>
      </c>
    </row>
    <row r="16" spans="3:4">
      <c r="C16" t="s">
        <v>203</v>
      </c>
      <c r="D16" t="s">
        <v>203</v>
      </c>
    </row>
    <row r="17" spans="3:4">
      <c r="C17" t="s">
        <v>203</v>
      </c>
      <c r="D17" t="s">
        <v>203</v>
      </c>
    </row>
    <row r="18" spans="3:4">
      <c r="C18" t="s">
        <v>203</v>
      </c>
      <c r="D18" t="s">
        <v>203</v>
      </c>
    </row>
    <row r="19" spans="3:4">
      <c r="C19" t="s">
        <v>203</v>
      </c>
      <c r="D19" t="s">
        <v>203</v>
      </c>
    </row>
    <row r="20" spans="3:4">
      <c r="C20" t="s">
        <v>203</v>
      </c>
      <c r="D20" t="s">
        <v>203</v>
      </c>
    </row>
    <row r="21" spans="3:4">
      <c r="C21" t="s">
        <v>203</v>
      </c>
      <c r="D21" t="s">
        <v>203</v>
      </c>
    </row>
    <row r="22" spans="3:4">
      <c r="C22" t="s">
        <v>203</v>
      </c>
      <c r="D22" t="s">
        <v>203</v>
      </c>
    </row>
    <row r="23" spans="3:4">
      <c r="C23" t="s">
        <v>203</v>
      </c>
      <c r="D23" t="s">
        <v>203</v>
      </c>
    </row>
    <row r="24" spans="3:4">
      <c r="C24" t="s">
        <v>203</v>
      </c>
      <c r="D24" t="s">
        <v>203</v>
      </c>
    </row>
    <row r="25" spans="3:4">
      <c r="C25" t="s">
        <v>203</v>
      </c>
      <c r="D25" t="s">
        <v>203</v>
      </c>
    </row>
    <row r="26" spans="3:4">
      <c r="C26" t="s">
        <v>203</v>
      </c>
      <c r="D26" t="s">
        <v>203</v>
      </c>
    </row>
    <row r="27" spans="3:4">
      <c r="C27" t="s">
        <v>203</v>
      </c>
      <c r="D27" t="s">
        <v>203</v>
      </c>
    </row>
    <row r="28" spans="3:4">
      <c r="C28" t="s">
        <v>203</v>
      </c>
      <c r="D28" t="s">
        <v>203</v>
      </c>
    </row>
    <row r="29" spans="3:4">
      <c r="C29" t="s">
        <v>203</v>
      </c>
      <c r="D29" t="s">
        <v>203</v>
      </c>
    </row>
    <row r="30" spans="3:4">
      <c r="C30" t="s">
        <v>203</v>
      </c>
      <c r="D30" t="s">
        <v>203</v>
      </c>
    </row>
    <row r="31" spans="3:4">
      <c r="C31" t="s">
        <v>203</v>
      </c>
      <c r="D31" t="s">
        <v>203</v>
      </c>
    </row>
    <row r="32" spans="3:4">
      <c r="C32" t="s">
        <v>203</v>
      </c>
      <c r="D32" t="s">
        <v>203</v>
      </c>
    </row>
    <row r="33" spans="3:4">
      <c r="C33" t="s">
        <v>203</v>
      </c>
      <c r="D33" t="s">
        <v>203</v>
      </c>
    </row>
    <row r="34" spans="3:4">
      <c r="C34" t="s">
        <v>203</v>
      </c>
      <c r="D34" t="s">
        <v>203</v>
      </c>
    </row>
    <row r="35" spans="3:4">
      <c r="C35" t="s">
        <v>203</v>
      </c>
      <c r="D35" t="s">
        <v>203</v>
      </c>
    </row>
    <row r="36" spans="3:4">
      <c r="C36" t="s">
        <v>203</v>
      </c>
      <c r="D36" t="s">
        <v>203</v>
      </c>
    </row>
    <row r="37" spans="3:4">
      <c r="C37" t="s">
        <v>203</v>
      </c>
      <c r="D37" t="s">
        <v>203</v>
      </c>
    </row>
    <row r="38" spans="3:4">
      <c r="C38" t="s">
        <v>203</v>
      </c>
      <c r="D38" t="s">
        <v>203</v>
      </c>
    </row>
    <row r="39" spans="3:4">
      <c r="C39" t="s">
        <v>203</v>
      </c>
      <c r="D39" t="s">
        <v>203</v>
      </c>
    </row>
    <row r="40" spans="3:4">
      <c r="C40" t="s">
        <v>203</v>
      </c>
      <c r="D40" t="s">
        <v>203</v>
      </c>
    </row>
    <row r="41" spans="3:4">
      <c r="C41" t="s">
        <v>203</v>
      </c>
      <c r="D41" t="s">
        <v>203</v>
      </c>
    </row>
    <row r="42" spans="3:4">
      <c r="C42" t="s">
        <v>203</v>
      </c>
      <c r="D42" t="s">
        <v>203</v>
      </c>
    </row>
    <row r="43" spans="3:4">
      <c r="C43" t="s">
        <v>203</v>
      </c>
      <c r="D43" t="s">
        <v>203</v>
      </c>
    </row>
    <row r="44" spans="3:4">
      <c r="C44" t="s">
        <v>203</v>
      </c>
      <c r="D44" t="s">
        <v>203</v>
      </c>
    </row>
    <row r="45" spans="3:4">
      <c r="C45" t="s">
        <v>203</v>
      </c>
      <c r="D45" t="s">
        <v>203</v>
      </c>
    </row>
    <row r="46" spans="3:4">
      <c r="C46" t="s">
        <v>203</v>
      </c>
      <c r="D46" t="s">
        <v>203</v>
      </c>
    </row>
    <row r="47" spans="3:4">
      <c r="C47" t="s">
        <v>203</v>
      </c>
      <c r="D47" t="s">
        <v>203</v>
      </c>
    </row>
    <row r="48" spans="3:4">
      <c r="C48" t="s">
        <v>203</v>
      </c>
      <c r="D48" t="s">
        <v>203</v>
      </c>
    </row>
    <row r="49" spans="3:4">
      <c r="C49" t="s">
        <v>203</v>
      </c>
      <c r="D49" t="s">
        <v>203</v>
      </c>
    </row>
    <row r="50" spans="3:4">
      <c r="C50" t="s">
        <v>203</v>
      </c>
      <c r="D50" t="s">
        <v>203</v>
      </c>
    </row>
    <row r="51" spans="3:4">
      <c r="C51" t="s">
        <v>203</v>
      </c>
      <c r="D51" t="s">
        <v>203</v>
      </c>
    </row>
    <row r="52" spans="3:4">
      <c r="C52" t="s">
        <v>203</v>
      </c>
      <c r="D52" t="s">
        <v>203</v>
      </c>
    </row>
    <row r="53" spans="3:4">
      <c r="C53" t="s">
        <v>203</v>
      </c>
      <c r="D53" t="s">
        <v>203</v>
      </c>
    </row>
    <row r="54" spans="3:4">
      <c r="C54" t="s">
        <v>203</v>
      </c>
      <c r="D54" t="s">
        <v>203</v>
      </c>
    </row>
    <row r="55" spans="3:4">
      <c r="C55" t="s">
        <v>203</v>
      </c>
      <c r="D55" t="s">
        <v>203</v>
      </c>
    </row>
    <row r="56" spans="3:4">
      <c r="C56" t="s">
        <v>203</v>
      </c>
      <c r="D56" t="s">
        <v>203</v>
      </c>
    </row>
    <row r="57" spans="3:4">
      <c r="C57" t="s">
        <v>203</v>
      </c>
      <c r="D57" t="s">
        <v>203</v>
      </c>
    </row>
    <row r="58" spans="3:4">
      <c r="C58" t="s">
        <v>203</v>
      </c>
      <c r="D58" t="s">
        <v>203</v>
      </c>
    </row>
    <row r="59" spans="3:4">
      <c r="C59" t="s">
        <v>203</v>
      </c>
      <c r="D59" t="s">
        <v>203</v>
      </c>
    </row>
    <row r="60" spans="3:4">
      <c r="C60" t="s">
        <v>203</v>
      </c>
      <c r="D60" t="s">
        <v>203</v>
      </c>
    </row>
    <row r="61" spans="3:4">
      <c r="C61" t="s">
        <v>203</v>
      </c>
      <c r="D61" t="s">
        <v>203</v>
      </c>
    </row>
    <row r="62" spans="3:4">
      <c r="C62" t="s">
        <v>203</v>
      </c>
      <c r="D62" t="s">
        <v>203</v>
      </c>
    </row>
    <row r="63" spans="3:4">
      <c r="C63" t="s">
        <v>203</v>
      </c>
      <c r="D63" t="s">
        <v>203</v>
      </c>
    </row>
    <row r="64" spans="3:4">
      <c r="C64" t="s">
        <v>203</v>
      </c>
      <c r="D64" t="s">
        <v>203</v>
      </c>
    </row>
    <row r="65" spans="3:4">
      <c r="C65" t="s">
        <v>203</v>
      </c>
      <c r="D65" t="s">
        <v>203</v>
      </c>
    </row>
  </sheetData>
  <pageMargins left="0.7" right="0.7" top="0.75" bottom="0.75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201</v>
      </c>
      <c r="D7" t="s">
        <v>201</v>
      </c>
    </row>
    <row r="8" spans="3:4">
      <c r="C8" t="s">
        <v>201</v>
      </c>
      <c r="D8" t="s">
        <v>201</v>
      </c>
    </row>
    <row r="9" spans="3:4">
      <c r="C9" t="s">
        <v>201</v>
      </c>
      <c r="D9" t="s">
        <v>201</v>
      </c>
    </row>
    <row r="10" spans="3:4">
      <c r="C10" t="s">
        <v>201</v>
      </c>
      <c r="D10" t="s">
        <v>201</v>
      </c>
    </row>
    <row r="11" spans="3:4">
      <c r="C11" t="s">
        <v>201</v>
      </c>
      <c r="D11" t="s">
        <v>201</v>
      </c>
    </row>
    <row r="12" spans="3:4">
      <c r="C12" t="s">
        <v>201</v>
      </c>
      <c r="D12" t="s">
        <v>201</v>
      </c>
    </row>
    <row r="13" spans="3:4">
      <c r="C13" t="s">
        <v>201</v>
      </c>
      <c r="D13" t="s">
        <v>201</v>
      </c>
    </row>
    <row r="14" spans="3:4">
      <c r="C14" t="s">
        <v>201</v>
      </c>
      <c r="D14" t="s">
        <v>201</v>
      </c>
    </row>
    <row r="15" spans="3:4">
      <c r="C15" t="s">
        <v>201</v>
      </c>
      <c r="D15" t="s">
        <v>201</v>
      </c>
    </row>
    <row r="16" spans="3:4">
      <c r="C16" t="s">
        <v>201</v>
      </c>
      <c r="D16" t="s">
        <v>201</v>
      </c>
    </row>
    <row r="17" spans="3:4">
      <c r="C17" t="s">
        <v>201</v>
      </c>
      <c r="D17" t="s">
        <v>201</v>
      </c>
    </row>
    <row r="18" spans="3:4">
      <c r="C18" t="s">
        <v>201</v>
      </c>
      <c r="D18" t="s">
        <v>201</v>
      </c>
    </row>
    <row r="19" spans="3:4">
      <c r="C19" t="s">
        <v>201</v>
      </c>
      <c r="D19" t="s">
        <v>201</v>
      </c>
    </row>
    <row r="20" spans="3:4">
      <c r="C20" t="s">
        <v>201</v>
      </c>
      <c r="D20" t="s">
        <v>201</v>
      </c>
    </row>
    <row r="21" spans="3:4">
      <c r="C21" t="s">
        <v>201</v>
      </c>
      <c r="D21" t="s">
        <v>201</v>
      </c>
    </row>
    <row r="22" spans="3:4">
      <c r="C22" t="s">
        <v>201</v>
      </c>
      <c r="D22" t="s">
        <v>201</v>
      </c>
    </row>
    <row r="23" spans="3:4">
      <c r="C23" t="s">
        <v>201</v>
      </c>
      <c r="D23" t="s">
        <v>201</v>
      </c>
    </row>
    <row r="24" spans="3:4">
      <c r="C24" t="s">
        <v>201</v>
      </c>
      <c r="D24" t="s">
        <v>201</v>
      </c>
    </row>
    <row r="25" spans="3:4">
      <c r="C25" t="s">
        <v>201</v>
      </c>
      <c r="D25" t="s">
        <v>201</v>
      </c>
    </row>
    <row r="26" spans="3:4">
      <c r="C26" t="s">
        <v>201</v>
      </c>
      <c r="D26" t="s">
        <v>201</v>
      </c>
    </row>
    <row r="27" spans="3:4">
      <c r="C27" t="s">
        <v>201</v>
      </c>
      <c r="D27" t="s">
        <v>201</v>
      </c>
    </row>
    <row r="28" spans="3:4">
      <c r="C28" t="s">
        <v>201</v>
      </c>
      <c r="D28" t="s">
        <v>201</v>
      </c>
    </row>
    <row r="29" spans="3:4">
      <c r="C29" t="s">
        <v>201</v>
      </c>
      <c r="D29" t="s">
        <v>201</v>
      </c>
    </row>
    <row r="30" spans="3:4">
      <c r="C30" t="s">
        <v>201</v>
      </c>
      <c r="D30" t="s">
        <v>201</v>
      </c>
    </row>
    <row r="31" spans="3:4">
      <c r="C31" t="s">
        <v>201</v>
      </c>
      <c r="D31" t="s">
        <v>201</v>
      </c>
    </row>
    <row r="32" spans="3:4">
      <c r="C32" t="s">
        <v>201</v>
      </c>
      <c r="D32" t="s">
        <v>201</v>
      </c>
    </row>
    <row r="33" spans="3:4">
      <c r="C33" t="s">
        <v>201</v>
      </c>
      <c r="D33" t="s">
        <v>201</v>
      </c>
    </row>
    <row r="34" spans="3:4">
      <c r="C34" t="s">
        <v>201</v>
      </c>
      <c r="D34" t="s">
        <v>201</v>
      </c>
    </row>
    <row r="35" spans="3:4">
      <c r="C35" t="s">
        <v>201</v>
      </c>
      <c r="D35" t="s">
        <v>201</v>
      </c>
    </row>
    <row r="36" spans="3:4">
      <c r="C36" t="s">
        <v>201</v>
      </c>
      <c r="D36" t="s">
        <v>201</v>
      </c>
    </row>
    <row r="37" spans="3:4">
      <c r="C37" t="s">
        <v>201</v>
      </c>
      <c r="D37" t="s">
        <v>201</v>
      </c>
    </row>
    <row r="38" spans="3:4">
      <c r="C38" t="s">
        <v>201</v>
      </c>
      <c r="D38" t="s">
        <v>201</v>
      </c>
    </row>
    <row r="39" spans="3:4">
      <c r="C39" t="s">
        <v>201</v>
      </c>
      <c r="D39" t="s">
        <v>201</v>
      </c>
    </row>
    <row r="40" spans="3:4">
      <c r="C40" t="s">
        <v>201</v>
      </c>
      <c r="D40" t="s">
        <v>201</v>
      </c>
    </row>
    <row r="41" spans="3:4">
      <c r="C41" t="s">
        <v>201</v>
      </c>
      <c r="D41" t="s">
        <v>201</v>
      </c>
    </row>
    <row r="42" spans="3:4">
      <c r="C42" t="s">
        <v>201</v>
      </c>
      <c r="D42" t="s">
        <v>201</v>
      </c>
    </row>
    <row r="43" spans="3:4">
      <c r="C43" t="s">
        <v>201</v>
      </c>
      <c r="D43" t="s">
        <v>201</v>
      </c>
    </row>
    <row r="44" spans="3:4">
      <c r="C44" t="s">
        <v>201</v>
      </c>
      <c r="D44" t="s">
        <v>201</v>
      </c>
    </row>
    <row r="45" spans="3:4">
      <c r="C45" t="s">
        <v>201</v>
      </c>
      <c r="D45" t="s">
        <v>201</v>
      </c>
    </row>
    <row r="46" spans="3:4">
      <c r="C46" t="s">
        <v>201</v>
      </c>
      <c r="D46" t="s">
        <v>201</v>
      </c>
    </row>
    <row r="47" spans="3:4">
      <c r="C47" t="s">
        <v>201</v>
      </c>
      <c r="D47" t="s">
        <v>201</v>
      </c>
    </row>
    <row r="48" spans="3:4">
      <c r="C48" t="s">
        <v>201</v>
      </c>
      <c r="D48" t="s">
        <v>201</v>
      </c>
    </row>
    <row r="49" spans="3:4">
      <c r="C49" t="s">
        <v>201</v>
      </c>
      <c r="D49" t="s">
        <v>201</v>
      </c>
    </row>
    <row r="50" spans="3:4">
      <c r="C50" t="s">
        <v>201</v>
      </c>
      <c r="D50" t="s">
        <v>201</v>
      </c>
    </row>
    <row r="51" spans="3:4">
      <c r="C51" t="s">
        <v>201</v>
      </c>
      <c r="D51" t="s">
        <v>201</v>
      </c>
    </row>
    <row r="52" spans="3:4">
      <c r="C52" t="s">
        <v>201</v>
      </c>
      <c r="D52" t="s">
        <v>201</v>
      </c>
    </row>
    <row r="53" spans="3:4">
      <c r="C53" t="s">
        <v>201</v>
      </c>
      <c r="D53" t="s">
        <v>201</v>
      </c>
    </row>
    <row r="54" spans="3:4">
      <c r="C54" t="s">
        <v>201</v>
      </c>
      <c r="D54" t="s">
        <v>201</v>
      </c>
    </row>
    <row r="55" spans="3:4">
      <c r="C55" t="s">
        <v>201</v>
      </c>
      <c r="D55" t="s">
        <v>201</v>
      </c>
    </row>
    <row r="56" spans="3:4">
      <c r="C56" t="s">
        <v>201</v>
      </c>
      <c r="D56" t="s">
        <v>201</v>
      </c>
    </row>
    <row r="57" spans="3:4">
      <c r="C57" t="s">
        <v>201</v>
      </c>
      <c r="D57" t="s">
        <v>201</v>
      </c>
    </row>
    <row r="58" spans="3:4">
      <c r="C58" t="s">
        <v>201</v>
      </c>
      <c r="D58" t="s">
        <v>201</v>
      </c>
    </row>
    <row r="59" spans="3:4">
      <c r="C59" t="s">
        <v>201</v>
      </c>
      <c r="D59" t="s">
        <v>201</v>
      </c>
    </row>
    <row r="60" spans="3:4">
      <c r="C60" t="s">
        <v>201</v>
      </c>
      <c r="D60" t="s">
        <v>201</v>
      </c>
    </row>
    <row r="61" spans="3:4">
      <c r="C61" t="s">
        <v>201</v>
      </c>
      <c r="D61" t="s">
        <v>201</v>
      </c>
    </row>
    <row r="62" spans="3:4">
      <c r="C62" t="s">
        <v>201</v>
      </c>
      <c r="D62" t="s">
        <v>201</v>
      </c>
    </row>
    <row r="63" spans="3:4">
      <c r="C63" t="s">
        <v>201</v>
      </c>
      <c r="D63" t="s">
        <v>201</v>
      </c>
    </row>
    <row r="64" spans="3:4">
      <c r="C64" t="s">
        <v>201</v>
      </c>
      <c r="D64" t="s">
        <v>201</v>
      </c>
    </row>
    <row r="65" spans="3:4">
      <c r="C65" t="s">
        <v>201</v>
      </c>
      <c r="D65" t="s">
        <v>201</v>
      </c>
    </row>
  </sheetData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199</v>
      </c>
      <c r="D7" t="s">
        <v>199</v>
      </c>
    </row>
    <row r="8" spans="3:4">
      <c r="C8" t="s">
        <v>199</v>
      </c>
      <c r="D8" t="s">
        <v>199</v>
      </c>
    </row>
    <row r="9" spans="3:4">
      <c r="C9" t="s">
        <v>199</v>
      </c>
      <c r="D9" t="s">
        <v>199</v>
      </c>
    </row>
    <row r="10" spans="3:4">
      <c r="C10" t="s">
        <v>199</v>
      </c>
      <c r="D10" t="s">
        <v>199</v>
      </c>
    </row>
    <row r="11" spans="3:4">
      <c r="C11" t="s">
        <v>199</v>
      </c>
      <c r="D11" t="s">
        <v>199</v>
      </c>
    </row>
    <row r="12" spans="3:4">
      <c r="C12" t="s">
        <v>199</v>
      </c>
      <c r="D12" t="s">
        <v>199</v>
      </c>
    </row>
    <row r="13" spans="3:4">
      <c r="C13" t="s">
        <v>199</v>
      </c>
      <c r="D13" t="s">
        <v>199</v>
      </c>
    </row>
    <row r="14" spans="3:4">
      <c r="C14" t="s">
        <v>199</v>
      </c>
      <c r="D14" t="s">
        <v>199</v>
      </c>
    </row>
    <row r="15" spans="3:4">
      <c r="C15" t="s">
        <v>199</v>
      </c>
      <c r="D15" t="s">
        <v>199</v>
      </c>
    </row>
    <row r="16" spans="3:4">
      <c r="C16" t="s">
        <v>199</v>
      </c>
      <c r="D16" t="s">
        <v>199</v>
      </c>
    </row>
    <row r="17" spans="3:4">
      <c r="C17" t="s">
        <v>199</v>
      </c>
      <c r="D17" t="s">
        <v>199</v>
      </c>
    </row>
    <row r="18" spans="3:4">
      <c r="C18" t="s">
        <v>199</v>
      </c>
      <c r="D18" t="s">
        <v>199</v>
      </c>
    </row>
    <row r="19" spans="3:4">
      <c r="C19" t="s">
        <v>199</v>
      </c>
      <c r="D19" t="s">
        <v>199</v>
      </c>
    </row>
    <row r="20" spans="3:4">
      <c r="C20" t="s">
        <v>199</v>
      </c>
      <c r="D20" t="s">
        <v>199</v>
      </c>
    </row>
    <row r="21" spans="3:4">
      <c r="C21" t="s">
        <v>199</v>
      </c>
      <c r="D21" t="s">
        <v>199</v>
      </c>
    </row>
    <row r="22" spans="3:4">
      <c r="C22" t="s">
        <v>199</v>
      </c>
      <c r="D22" t="s">
        <v>199</v>
      </c>
    </row>
    <row r="23" spans="3:4">
      <c r="C23" t="s">
        <v>199</v>
      </c>
      <c r="D23" t="s">
        <v>199</v>
      </c>
    </row>
    <row r="24" spans="3:4">
      <c r="C24" t="s">
        <v>199</v>
      </c>
      <c r="D24" t="s">
        <v>199</v>
      </c>
    </row>
    <row r="25" spans="3:4">
      <c r="C25" t="s">
        <v>199</v>
      </c>
      <c r="D25" t="s">
        <v>199</v>
      </c>
    </row>
    <row r="26" spans="3:4">
      <c r="C26" t="s">
        <v>199</v>
      </c>
      <c r="D26" t="s">
        <v>199</v>
      </c>
    </row>
    <row r="27" spans="3:4">
      <c r="C27" t="s">
        <v>199</v>
      </c>
      <c r="D27" t="s">
        <v>199</v>
      </c>
    </row>
    <row r="28" spans="3:4">
      <c r="C28" t="s">
        <v>199</v>
      </c>
      <c r="D28" t="s">
        <v>199</v>
      </c>
    </row>
    <row r="29" spans="3:4">
      <c r="C29" t="s">
        <v>199</v>
      </c>
      <c r="D29" t="s">
        <v>199</v>
      </c>
    </row>
    <row r="30" spans="3:4">
      <c r="C30" t="s">
        <v>199</v>
      </c>
      <c r="D30" t="s">
        <v>199</v>
      </c>
    </row>
    <row r="31" spans="3:4">
      <c r="C31" t="s">
        <v>199</v>
      </c>
      <c r="D31" t="s">
        <v>199</v>
      </c>
    </row>
    <row r="32" spans="3:4">
      <c r="C32" t="s">
        <v>199</v>
      </c>
      <c r="D32" t="s">
        <v>199</v>
      </c>
    </row>
    <row r="33" spans="3:4">
      <c r="C33" t="s">
        <v>199</v>
      </c>
      <c r="D33" t="s">
        <v>199</v>
      </c>
    </row>
    <row r="34" spans="3:4">
      <c r="C34" t="s">
        <v>199</v>
      </c>
      <c r="D34" t="s">
        <v>199</v>
      </c>
    </row>
    <row r="35" spans="3:4">
      <c r="C35" t="s">
        <v>199</v>
      </c>
      <c r="D35" t="s">
        <v>199</v>
      </c>
    </row>
    <row r="36" spans="3:4">
      <c r="C36" t="s">
        <v>199</v>
      </c>
      <c r="D36" t="s">
        <v>199</v>
      </c>
    </row>
    <row r="37" spans="3:4">
      <c r="C37" t="s">
        <v>199</v>
      </c>
      <c r="D37" t="s">
        <v>199</v>
      </c>
    </row>
    <row r="38" spans="3:4">
      <c r="C38" t="s">
        <v>199</v>
      </c>
      <c r="D38" t="s">
        <v>199</v>
      </c>
    </row>
    <row r="39" spans="3:4">
      <c r="C39" t="s">
        <v>199</v>
      </c>
      <c r="D39" t="s">
        <v>199</v>
      </c>
    </row>
    <row r="40" spans="3:4">
      <c r="C40" t="s">
        <v>199</v>
      </c>
      <c r="D40" t="s">
        <v>199</v>
      </c>
    </row>
    <row r="41" spans="3:4">
      <c r="C41" t="s">
        <v>199</v>
      </c>
      <c r="D41" t="s">
        <v>199</v>
      </c>
    </row>
    <row r="42" spans="3:4">
      <c r="C42" t="s">
        <v>199</v>
      </c>
      <c r="D42" t="s">
        <v>199</v>
      </c>
    </row>
    <row r="43" spans="3:4">
      <c r="C43" t="s">
        <v>199</v>
      </c>
      <c r="D43" t="s">
        <v>199</v>
      </c>
    </row>
    <row r="44" spans="3:4">
      <c r="C44" t="s">
        <v>199</v>
      </c>
      <c r="D44" t="s">
        <v>199</v>
      </c>
    </row>
    <row r="45" spans="3:4">
      <c r="C45" t="s">
        <v>199</v>
      </c>
      <c r="D45" t="s">
        <v>199</v>
      </c>
    </row>
    <row r="46" spans="3:4">
      <c r="C46" t="s">
        <v>199</v>
      </c>
      <c r="D46" t="s">
        <v>199</v>
      </c>
    </row>
    <row r="47" spans="3:4">
      <c r="C47" t="s">
        <v>199</v>
      </c>
      <c r="D47" t="s">
        <v>199</v>
      </c>
    </row>
    <row r="48" spans="3:4">
      <c r="C48" t="s">
        <v>199</v>
      </c>
      <c r="D48" t="s">
        <v>199</v>
      </c>
    </row>
    <row r="49" spans="3:4">
      <c r="C49" t="s">
        <v>199</v>
      </c>
      <c r="D49" t="s">
        <v>199</v>
      </c>
    </row>
    <row r="50" spans="3:4">
      <c r="C50" t="s">
        <v>199</v>
      </c>
      <c r="D50" t="s">
        <v>199</v>
      </c>
    </row>
    <row r="51" spans="3:4">
      <c r="C51" t="s">
        <v>199</v>
      </c>
      <c r="D51" t="s">
        <v>199</v>
      </c>
    </row>
    <row r="52" spans="3:4">
      <c r="C52" t="s">
        <v>199</v>
      </c>
      <c r="D52" t="s">
        <v>199</v>
      </c>
    </row>
    <row r="53" spans="3:4">
      <c r="C53" t="s">
        <v>199</v>
      </c>
      <c r="D53" t="s">
        <v>199</v>
      </c>
    </row>
    <row r="54" spans="3:4">
      <c r="C54" t="s">
        <v>199</v>
      </c>
      <c r="D54" t="s">
        <v>199</v>
      </c>
    </row>
    <row r="55" spans="3:4">
      <c r="C55" t="s">
        <v>199</v>
      </c>
      <c r="D55" t="s">
        <v>199</v>
      </c>
    </row>
    <row r="56" spans="3:4">
      <c r="C56" t="s">
        <v>199</v>
      </c>
      <c r="D56" t="s">
        <v>199</v>
      </c>
    </row>
    <row r="57" spans="3:4">
      <c r="C57" t="s">
        <v>199</v>
      </c>
      <c r="D57" t="s">
        <v>199</v>
      </c>
    </row>
    <row r="58" spans="3:4">
      <c r="C58" t="s">
        <v>199</v>
      </c>
      <c r="D58" t="s">
        <v>199</v>
      </c>
    </row>
    <row r="59" spans="3:4">
      <c r="C59" t="s">
        <v>199</v>
      </c>
      <c r="D59" t="s">
        <v>199</v>
      </c>
    </row>
    <row r="60" spans="3:4">
      <c r="C60" t="s">
        <v>199</v>
      </c>
      <c r="D60" t="s">
        <v>199</v>
      </c>
    </row>
    <row r="61" spans="3:4">
      <c r="C61" t="s">
        <v>199</v>
      </c>
      <c r="D61" t="s">
        <v>199</v>
      </c>
    </row>
    <row r="62" spans="3:4">
      <c r="C62" t="s">
        <v>199</v>
      </c>
      <c r="D62" t="s">
        <v>199</v>
      </c>
    </row>
    <row r="63" spans="3:4">
      <c r="C63" t="s">
        <v>199</v>
      </c>
      <c r="D63" t="s">
        <v>199</v>
      </c>
    </row>
    <row r="64" spans="3:4">
      <c r="C64" t="s">
        <v>199</v>
      </c>
      <c r="D64" t="s">
        <v>199</v>
      </c>
    </row>
    <row r="65" spans="3:4">
      <c r="C65" t="s">
        <v>199</v>
      </c>
      <c r="D65" t="s">
        <v>199</v>
      </c>
    </row>
  </sheetData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198</v>
      </c>
      <c r="D7" t="s">
        <v>198</v>
      </c>
    </row>
    <row r="8" spans="3:4">
      <c r="C8" t="s">
        <v>198</v>
      </c>
      <c r="D8" t="s">
        <v>198</v>
      </c>
    </row>
    <row r="9" spans="3:4">
      <c r="C9" t="s">
        <v>198</v>
      </c>
      <c r="D9" t="s">
        <v>198</v>
      </c>
    </row>
    <row r="10" spans="3:4">
      <c r="C10" t="s">
        <v>198</v>
      </c>
      <c r="D10" t="s">
        <v>198</v>
      </c>
    </row>
    <row r="11" spans="3:4">
      <c r="C11" t="s">
        <v>198</v>
      </c>
      <c r="D11" t="s">
        <v>198</v>
      </c>
    </row>
    <row r="12" spans="3:4">
      <c r="C12" t="s">
        <v>198</v>
      </c>
      <c r="D12" t="s">
        <v>198</v>
      </c>
    </row>
    <row r="13" spans="3:4">
      <c r="C13" t="s">
        <v>198</v>
      </c>
      <c r="D13" t="s">
        <v>198</v>
      </c>
    </row>
    <row r="14" spans="3:4">
      <c r="C14" t="s">
        <v>198</v>
      </c>
      <c r="D14" t="s">
        <v>198</v>
      </c>
    </row>
    <row r="15" spans="3:4">
      <c r="C15" t="s">
        <v>198</v>
      </c>
      <c r="D15" t="s">
        <v>198</v>
      </c>
    </row>
    <row r="16" spans="3:4">
      <c r="C16" t="s">
        <v>198</v>
      </c>
      <c r="D16" t="s">
        <v>198</v>
      </c>
    </row>
    <row r="17" spans="3:4">
      <c r="C17" t="s">
        <v>198</v>
      </c>
      <c r="D17" t="s">
        <v>198</v>
      </c>
    </row>
    <row r="18" spans="3:4">
      <c r="C18" t="s">
        <v>198</v>
      </c>
      <c r="D18" t="s">
        <v>198</v>
      </c>
    </row>
    <row r="19" spans="3:4">
      <c r="C19" t="s">
        <v>198</v>
      </c>
      <c r="D19" t="s">
        <v>198</v>
      </c>
    </row>
    <row r="20" spans="3:4">
      <c r="C20" t="s">
        <v>198</v>
      </c>
      <c r="D20" t="s">
        <v>198</v>
      </c>
    </row>
    <row r="21" spans="3:4">
      <c r="C21" t="s">
        <v>198</v>
      </c>
      <c r="D21" t="s">
        <v>198</v>
      </c>
    </row>
    <row r="22" spans="3:4">
      <c r="C22" t="s">
        <v>198</v>
      </c>
      <c r="D22" t="s">
        <v>198</v>
      </c>
    </row>
    <row r="23" spans="3:4">
      <c r="C23" t="s">
        <v>198</v>
      </c>
      <c r="D23" t="s">
        <v>198</v>
      </c>
    </row>
    <row r="24" spans="3:4">
      <c r="C24" t="s">
        <v>198</v>
      </c>
      <c r="D24" t="s">
        <v>198</v>
      </c>
    </row>
    <row r="25" spans="3:4">
      <c r="C25" t="s">
        <v>198</v>
      </c>
      <c r="D25" t="s">
        <v>198</v>
      </c>
    </row>
    <row r="26" spans="3:4">
      <c r="C26" t="s">
        <v>198</v>
      </c>
      <c r="D26" t="s">
        <v>198</v>
      </c>
    </row>
    <row r="27" spans="3:4">
      <c r="C27" t="s">
        <v>198</v>
      </c>
      <c r="D27" t="s">
        <v>198</v>
      </c>
    </row>
    <row r="28" spans="3:4">
      <c r="C28" t="s">
        <v>198</v>
      </c>
      <c r="D28" t="s">
        <v>198</v>
      </c>
    </row>
    <row r="29" spans="3:4">
      <c r="C29" t="s">
        <v>198</v>
      </c>
      <c r="D29" t="s">
        <v>198</v>
      </c>
    </row>
    <row r="30" spans="3:4">
      <c r="C30" t="s">
        <v>198</v>
      </c>
      <c r="D30" t="s">
        <v>198</v>
      </c>
    </row>
    <row r="31" spans="3:4">
      <c r="C31" t="s">
        <v>198</v>
      </c>
      <c r="D31" t="s">
        <v>198</v>
      </c>
    </row>
    <row r="32" spans="3:4">
      <c r="C32" t="s">
        <v>198</v>
      </c>
      <c r="D32" t="s">
        <v>198</v>
      </c>
    </row>
    <row r="33" spans="3:4">
      <c r="C33" t="s">
        <v>198</v>
      </c>
      <c r="D33" t="s">
        <v>198</v>
      </c>
    </row>
    <row r="34" spans="3:4">
      <c r="C34" t="s">
        <v>198</v>
      </c>
      <c r="D34" t="s">
        <v>198</v>
      </c>
    </row>
    <row r="35" spans="3:4">
      <c r="C35" t="s">
        <v>198</v>
      </c>
      <c r="D35" t="s">
        <v>198</v>
      </c>
    </row>
    <row r="36" spans="3:4">
      <c r="C36" t="s">
        <v>198</v>
      </c>
      <c r="D36" t="s">
        <v>198</v>
      </c>
    </row>
    <row r="37" spans="3:4">
      <c r="C37" t="s">
        <v>198</v>
      </c>
      <c r="D37" t="s">
        <v>198</v>
      </c>
    </row>
    <row r="38" spans="3:4">
      <c r="C38" t="s">
        <v>198</v>
      </c>
      <c r="D38" t="s">
        <v>198</v>
      </c>
    </row>
    <row r="39" spans="3:4">
      <c r="C39" t="s">
        <v>198</v>
      </c>
      <c r="D39" t="s">
        <v>198</v>
      </c>
    </row>
    <row r="40" spans="3:4">
      <c r="C40" t="s">
        <v>198</v>
      </c>
      <c r="D40" t="s">
        <v>198</v>
      </c>
    </row>
    <row r="41" spans="3:4">
      <c r="C41" t="s">
        <v>198</v>
      </c>
      <c r="D41" t="s">
        <v>198</v>
      </c>
    </row>
    <row r="42" spans="3:4">
      <c r="C42" t="s">
        <v>198</v>
      </c>
      <c r="D42" t="s">
        <v>198</v>
      </c>
    </row>
    <row r="43" spans="3:4">
      <c r="C43" t="s">
        <v>198</v>
      </c>
      <c r="D43" t="s">
        <v>198</v>
      </c>
    </row>
    <row r="44" spans="3:4">
      <c r="C44" t="s">
        <v>198</v>
      </c>
      <c r="D44" t="s">
        <v>198</v>
      </c>
    </row>
    <row r="45" spans="3:4">
      <c r="C45" t="s">
        <v>198</v>
      </c>
      <c r="D45" t="s">
        <v>198</v>
      </c>
    </row>
    <row r="46" spans="3:4">
      <c r="C46" t="s">
        <v>198</v>
      </c>
      <c r="D46" t="s">
        <v>198</v>
      </c>
    </row>
    <row r="47" spans="3:4">
      <c r="C47" t="s">
        <v>198</v>
      </c>
      <c r="D47" t="s">
        <v>198</v>
      </c>
    </row>
    <row r="48" spans="3:4">
      <c r="C48" t="s">
        <v>198</v>
      </c>
      <c r="D48" t="s">
        <v>198</v>
      </c>
    </row>
    <row r="49" spans="3:4">
      <c r="C49" t="s">
        <v>198</v>
      </c>
      <c r="D49" t="s">
        <v>198</v>
      </c>
    </row>
    <row r="50" spans="3:4">
      <c r="C50" t="s">
        <v>198</v>
      </c>
      <c r="D50" t="s">
        <v>198</v>
      </c>
    </row>
    <row r="51" spans="3:4">
      <c r="C51" t="s">
        <v>198</v>
      </c>
      <c r="D51" t="s">
        <v>198</v>
      </c>
    </row>
    <row r="52" spans="3:4">
      <c r="C52" t="s">
        <v>198</v>
      </c>
      <c r="D52" t="s">
        <v>198</v>
      </c>
    </row>
    <row r="53" spans="3:4">
      <c r="C53" t="s">
        <v>198</v>
      </c>
      <c r="D53" t="s">
        <v>198</v>
      </c>
    </row>
    <row r="54" spans="3:4">
      <c r="C54" t="s">
        <v>198</v>
      </c>
      <c r="D54" t="s">
        <v>198</v>
      </c>
    </row>
    <row r="55" spans="3:4">
      <c r="C55" t="s">
        <v>198</v>
      </c>
      <c r="D55" t="s">
        <v>198</v>
      </c>
    </row>
    <row r="56" spans="3:4">
      <c r="C56" t="s">
        <v>198</v>
      </c>
      <c r="D56" t="s">
        <v>198</v>
      </c>
    </row>
    <row r="57" spans="3:4">
      <c r="C57" t="s">
        <v>198</v>
      </c>
      <c r="D57" t="s">
        <v>198</v>
      </c>
    </row>
    <row r="58" spans="3:4">
      <c r="C58" t="s">
        <v>198</v>
      </c>
      <c r="D58" t="s">
        <v>198</v>
      </c>
    </row>
    <row r="59" spans="3:4">
      <c r="C59" t="s">
        <v>198</v>
      </c>
      <c r="D59" t="s">
        <v>198</v>
      </c>
    </row>
    <row r="60" spans="3:4">
      <c r="C60" t="s">
        <v>198</v>
      </c>
      <c r="D60" t="s">
        <v>198</v>
      </c>
    </row>
    <row r="61" spans="3:4">
      <c r="C61" t="s">
        <v>198</v>
      </c>
      <c r="D61" t="s">
        <v>198</v>
      </c>
    </row>
    <row r="62" spans="3:4">
      <c r="C62" t="s">
        <v>198</v>
      </c>
      <c r="D62" t="s">
        <v>198</v>
      </c>
    </row>
    <row r="63" spans="3:4">
      <c r="C63" t="s">
        <v>198</v>
      </c>
      <c r="D63" t="s">
        <v>198</v>
      </c>
    </row>
    <row r="64" spans="3:4">
      <c r="C64" t="s">
        <v>198</v>
      </c>
      <c r="D64" t="s">
        <v>198</v>
      </c>
    </row>
    <row r="65" spans="3:4">
      <c r="C65" t="s">
        <v>198</v>
      </c>
      <c r="D65" t="s">
        <v>198</v>
      </c>
    </row>
  </sheetData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196</v>
      </c>
      <c r="D7" t="s">
        <v>196</v>
      </c>
    </row>
    <row r="8" spans="3:4">
      <c r="C8" t="s">
        <v>196</v>
      </c>
      <c r="D8" t="s">
        <v>196</v>
      </c>
    </row>
    <row r="9" spans="3:4">
      <c r="C9" t="s">
        <v>196</v>
      </c>
      <c r="D9" t="s">
        <v>196</v>
      </c>
    </row>
    <row r="10" spans="3:4">
      <c r="C10" t="s">
        <v>196</v>
      </c>
      <c r="D10" t="s">
        <v>196</v>
      </c>
    </row>
    <row r="11" spans="3:4">
      <c r="C11" t="s">
        <v>196</v>
      </c>
      <c r="D11" t="s">
        <v>196</v>
      </c>
    </row>
    <row r="12" spans="3:4">
      <c r="C12" t="s">
        <v>196</v>
      </c>
      <c r="D12" t="s">
        <v>196</v>
      </c>
    </row>
    <row r="13" spans="3:4">
      <c r="C13" t="s">
        <v>196</v>
      </c>
      <c r="D13" t="s">
        <v>196</v>
      </c>
    </row>
    <row r="14" spans="3:4">
      <c r="C14" t="s">
        <v>196</v>
      </c>
      <c r="D14" t="s">
        <v>196</v>
      </c>
    </row>
    <row r="15" spans="3:4">
      <c r="C15" t="s">
        <v>196</v>
      </c>
      <c r="D15" t="s">
        <v>196</v>
      </c>
    </row>
    <row r="16" spans="3:4">
      <c r="C16" t="s">
        <v>196</v>
      </c>
      <c r="D16" t="s">
        <v>196</v>
      </c>
    </row>
    <row r="17" spans="3:4">
      <c r="C17" t="s">
        <v>196</v>
      </c>
      <c r="D17" t="s">
        <v>196</v>
      </c>
    </row>
    <row r="18" spans="3:4">
      <c r="C18" t="s">
        <v>196</v>
      </c>
      <c r="D18" t="s">
        <v>196</v>
      </c>
    </row>
    <row r="19" spans="3:4">
      <c r="C19" t="s">
        <v>196</v>
      </c>
      <c r="D19" t="s">
        <v>196</v>
      </c>
    </row>
    <row r="20" spans="3:4">
      <c r="C20" t="s">
        <v>196</v>
      </c>
      <c r="D20" t="s">
        <v>196</v>
      </c>
    </row>
    <row r="21" spans="3:4">
      <c r="C21" t="s">
        <v>196</v>
      </c>
      <c r="D21" t="s">
        <v>196</v>
      </c>
    </row>
    <row r="22" spans="3:4">
      <c r="C22" t="s">
        <v>196</v>
      </c>
      <c r="D22" t="s">
        <v>196</v>
      </c>
    </row>
    <row r="23" spans="3:4">
      <c r="C23" t="s">
        <v>196</v>
      </c>
      <c r="D23" t="s">
        <v>196</v>
      </c>
    </row>
    <row r="24" spans="3:4">
      <c r="C24" t="s">
        <v>196</v>
      </c>
      <c r="D24" t="s">
        <v>196</v>
      </c>
    </row>
    <row r="25" spans="3:4">
      <c r="C25" t="s">
        <v>196</v>
      </c>
      <c r="D25" t="s">
        <v>196</v>
      </c>
    </row>
    <row r="26" spans="3:4">
      <c r="C26" t="s">
        <v>196</v>
      </c>
      <c r="D26" t="s">
        <v>196</v>
      </c>
    </row>
    <row r="27" spans="3:4">
      <c r="C27" t="s">
        <v>196</v>
      </c>
      <c r="D27" t="s">
        <v>196</v>
      </c>
    </row>
    <row r="28" spans="3:4">
      <c r="C28" t="s">
        <v>196</v>
      </c>
      <c r="D28" t="s">
        <v>196</v>
      </c>
    </row>
    <row r="29" spans="3:4">
      <c r="C29" t="s">
        <v>196</v>
      </c>
      <c r="D29" t="s">
        <v>196</v>
      </c>
    </row>
    <row r="30" spans="3:4">
      <c r="C30" t="s">
        <v>196</v>
      </c>
      <c r="D30" t="s">
        <v>196</v>
      </c>
    </row>
    <row r="31" spans="3:4">
      <c r="C31" t="s">
        <v>196</v>
      </c>
      <c r="D31" t="s">
        <v>196</v>
      </c>
    </row>
    <row r="32" spans="3:4">
      <c r="C32" t="s">
        <v>196</v>
      </c>
      <c r="D32" t="s">
        <v>196</v>
      </c>
    </row>
    <row r="33" spans="3:4">
      <c r="C33" t="s">
        <v>196</v>
      </c>
      <c r="D33" t="s">
        <v>196</v>
      </c>
    </row>
    <row r="34" spans="3:4">
      <c r="C34" t="s">
        <v>196</v>
      </c>
      <c r="D34" t="s">
        <v>196</v>
      </c>
    </row>
    <row r="35" spans="3:4">
      <c r="C35" t="s">
        <v>196</v>
      </c>
      <c r="D35" t="s">
        <v>196</v>
      </c>
    </row>
    <row r="36" spans="3:4">
      <c r="C36" t="s">
        <v>196</v>
      </c>
      <c r="D36" t="s">
        <v>196</v>
      </c>
    </row>
    <row r="37" spans="3:4">
      <c r="C37" t="s">
        <v>196</v>
      </c>
      <c r="D37" t="s">
        <v>196</v>
      </c>
    </row>
    <row r="38" spans="3:4">
      <c r="C38" t="s">
        <v>196</v>
      </c>
      <c r="D38" t="s">
        <v>196</v>
      </c>
    </row>
    <row r="39" spans="3:4">
      <c r="C39" t="s">
        <v>196</v>
      </c>
      <c r="D39" t="s">
        <v>196</v>
      </c>
    </row>
    <row r="40" spans="3:4">
      <c r="C40" t="s">
        <v>196</v>
      </c>
      <c r="D40" t="s">
        <v>196</v>
      </c>
    </row>
    <row r="41" spans="3:4">
      <c r="C41" t="s">
        <v>196</v>
      </c>
      <c r="D41" t="s">
        <v>196</v>
      </c>
    </row>
    <row r="42" spans="3:4">
      <c r="C42" t="s">
        <v>196</v>
      </c>
      <c r="D42" t="s">
        <v>196</v>
      </c>
    </row>
    <row r="43" spans="3:4">
      <c r="C43" t="s">
        <v>196</v>
      </c>
      <c r="D43" t="s">
        <v>196</v>
      </c>
    </row>
    <row r="44" spans="3:4">
      <c r="C44" t="s">
        <v>196</v>
      </c>
      <c r="D44" t="s">
        <v>196</v>
      </c>
    </row>
    <row r="45" spans="3:4">
      <c r="C45" t="s">
        <v>196</v>
      </c>
      <c r="D45" t="s">
        <v>196</v>
      </c>
    </row>
    <row r="46" spans="3:4">
      <c r="C46" t="s">
        <v>196</v>
      </c>
      <c r="D46" t="s">
        <v>196</v>
      </c>
    </row>
    <row r="47" spans="3:4">
      <c r="C47" t="s">
        <v>196</v>
      </c>
      <c r="D47" t="s">
        <v>196</v>
      </c>
    </row>
    <row r="48" spans="3:4">
      <c r="C48" t="s">
        <v>196</v>
      </c>
      <c r="D48" t="s">
        <v>196</v>
      </c>
    </row>
    <row r="49" spans="3:4">
      <c r="C49" t="s">
        <v>196</v>
      </c>
      <c r="D49" t="s">
        <v>196</v>
      </c>
    </row>
    <row r="50" spans="3:4">
      <c r="C50" t="s">
        <v>196</v>
      </c>
      <c r="D50" t="s">
        <v>196</v>
      </c>
    </row>
    <row r="51" spans="3:4">
      <c r="C51" t="s">
        <v>196</v>
      </c>
      <c r="D51" t="s">
        <v>196</v>
      </c>
    </row>
    <row r="52" spans="3:4">
      <c r="C52" t="s">
        <v>196</v>
      </c>
      <c r="D52" t="s">
        <v>196</v>
      </c>
    </row>
    <row r="53" spans="3:4">
      <c r="C53" t="s">
        <v>196</v>
      </c>
      <c r="D53" t="s">
        <v>196</v>
      </c>
    </row>
    <row r="54" spans="3:4">
      <c r="C54" t="s">
        <v>196</v>
      </c>
      <c r="D54" t="s">
        <v>196</v>
      </c>
    </row>
    <row r="55" spans="3:4">
      <c r="C55" t="s">
        <v>196</v>
      </c>
      <c r="D55" t="s">
        <v>196</v>
      </c>
    </row>
    <row r="56" spans="3:4">
      <c r="C56" t="s">
        <v>196</v>
      </c>
      <c r="D56" t="s">
        <v>196</v>
      </c>
    </row>
    <row r="57" spans="3:4">
      <c r="C57" t="s">
        <v>196</v>
      </c>
      <c r="D57" t="s">
        <v>196</v>
      </c>
    </row>
    <row r="58" spans="3:4">
      <c r="C58" t="s">
        <v>196</v>
      </c>
      <c r="D58" t="s">
        <v>196</v>
      </c>
    </row>
    <row r="59" spans="3:4">
      <c r="C59" t="s">
        <v>196</v>
      </c>
      <c r="D59" t="s">
        <v>196</v>
      </c>
    </row>
    <row r="60" spans="3:4">
      <c r="C60" t="s">
        <v>196</v>
      </c>
      <c r="D60" t="s">
        <v>196</v>
      </c>
    </row>
    <row r="61" spans="3:4">
      <c r="C61" t="s">
        <v>196</v>
      </c>
      <c r="D61" t="s">
        <v>196</v>
      </c>
    </row>
    <row r="62" spans="3:4">
      <c r="C62" t="s">
        <v>196</v>
      </c>
      <c r="D62" t="s">
        <v>196</v>
      </c>
    </row>
    <row r="63" spans="3:4">
      <c r="C63" t="s">
        <v>196</v>
      </c>
      <c r="D63" t="s">
        <v>196</v>
      </c>
    </row>
    <row r="64" spans="3:4">
      <c r="C64" t="s">
        <v>196</v>
      </c>
      <c r="D64" t="s">
        <v>196</v>
      </c>
    </row>
    <row r="65" spans="3:4">
      <c r="C65" t="s">
        <v>196</v>
      </c>
      <c r="D65" t="s">
        <v>196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61"/>
  <sheetViews>
    <sheetView topLeftCell="A22" workbookViewId="0">
      <selection activeCell="E43" sqref="E43"/>
    </sheetView>
  </sheetViews>
  <sheetFormatPr defaultColWidth="11.7109375" defaultRowHeight="15"/>
  <cols>
    <col min="1" max="1" width="57.28515625" customWidth="1"/>
    <col min="2" max="2" width="9" customWidth="1"/>
    <col min="3" max="3" width="19.85546875" customWidth="1"/>
    <col min="4" max="4" width="17.5703125" customWidth="1"/>
    <col min="5" max="6" width="9.140625" customWidth="1"/>
    <col min="7" max="7" width="12.140625" customWidth="1"/>
    <col min="8" max="246" width="9.140625" customWidth="1"/>
    <col min="247" max="247" width="38.85546875" customWidth="1"/>
    <col min="248" max="248" width="7.85546875" customWidth="1"/>
    <col min="249" max="249" width="14.85546875" customWidth="1"/>
    <col min="250" max="250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3564844.51</v>
      </c>
      <c r="D8" s="11">
        <f>D9+D11+D14+D15</f>
        <v>3427640.42</v>
      </c>
    </row>
    <row r="9" spans="1:4" ht="30">
      <c r="A9" s="12" t="s">
        <v>90</v>
      </c>
      <c r="B9" s="13" t="s">
        <v>91</v>
      </c>
      <c r="C9" s="14">
        <f>3177156.44</f>
        <v>3177156.44</v>
      </c>
      <c r="D9" s="15">
        <f>3123785.53</f>
        <v>3123785.53</v>
      </c>
    </row>
    <row r="10" spans="1:4">
      <c r="A10" s="16" t="s">
        <v>92</v>
      </c>
      <c r="B10" s="17" t="s">
        <v>93</v>
      </c>
      <c r="C10" s="18">
        <f>1868590.29185868</f>
        <v>1868590.2918586801</v>
      </c>
      <c r="D10" s="19">
        <f>_4h_E12</f>
        <v>1868590.2918586801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387688.07000000007</v>
      </c>
      <c r="D15" s="15">
        <f>SUM(D16:D24)</f>
        <v>303854.89</v>
      </c>
    </row>
    <row r="16" spans="1:4">
      <c r="A16" s="22" t="s">
        <v>103</v>
      </c>
      <c r="B16" s="17" t="s">
        <v>104</v>
      </c>
      <c r="C16" s="111">
        <v>255190.2</v>
      </c>
      <c r="D16" s="113">
        <v>151415.24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78639.12</f>
        <v>78639.12</v>
      </c>
      <c r="D18" s="19">
        <f>98580.22</f>
        <v>98580.22</v>
      </c>
    </row>
    <row r="19" spans="1:4">
      <c r="A19" s="22" t="s">
        <v>109</v>
      </c>
      <c r="B19" s="17" t="s">
        <v>110</v>
      </c>
      <c r="C19" s="18">
        <f>7271.9</f>
        <v>7271.9</v>
      </c>
      <c r="D19" s="19">
        <f>7276.78</f>
        <v>7276.78</v>
      </c>
    </row>
    <row r="20" spans="1:4">
      <c r="A20" s="22" t="s">
        <v>111</v>
      </c>
      <c r="B20" s="17" t="s">
        <v>112</v>
      </c>
      <c r="C20" s="18">
        <f>9565.08</f>
        <v>9565.08</v>
      </c>
      <c r="D20" s="19">
        <f>9560.88</f>
        <v>9560.8799999999992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37021.77</f>
        <v>37021.769999999997</v>
      </c>
      <c r="D22" s="19">
        <f>37021.77</f>
        <v>37021.769999999997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785255.57000000007</v>
      </c>
      <c r="D25" s="15">
        <f>D26+D27+D30+D28+D29+D31</f>
        <v>713003.36</v>
      </c>
    </row>
    <row r="26" spans="1:4" ht="22.5" customHeight="1">
      <c r="A26" s="24" t="s">
        <v>123</v>
      </c>
      <c r="B26" s="20" t="s">
        <v>124</v>
      </c>
      <c r="C26" s="18">
        <f>335592</f>
        <v>335592</v>
      </c>
      <c r="D26" s="19">
        <f>335312.34</f>
        <v>335312.34000000003</v>
      </c>
    </row>
    <row r="27" spans="1:4" ht="45">
      <c r="A27" s="24" t="s">
        <v>125</v>
      </c>
      <c r="B27" s="20" t="s">
        <v>126</v>
      </c>
      <c r="C27" s="18">
        <f>51818.4</f>
        <v>51818.400000000001</v>
      </c>
      <c r="D27" s="19">
        <f>51780.35</f>
        <v>51780.35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51247.8</f>
        <v>51247.8</v>
      </c>
      <c r="D29" s="19">
        <f>50799.82</f>
        <v>50799.82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346597.37</v>
      </c>
      <c r="D31" s="15">
        <f>SUM(D32:D39)</f>
        <v>275110.84999999998</v>
      </c>
    </row>
    <row r="32" spans="1:4" ht="21" customHeight="1">
      <c r="A32" s="24" t="s">
        <v>135</v>
      </c>
      <c r="B32" s="17" t="s">
        <v>136</v>
      </c>
      <c r="C32" s="18">
        <f>76578.53</f>
        <v>76578.53</v>
      </c>
      <c r="D32" s="19">
        <f>76578.56</f>
        <v>76578.559999999998</v>
      </c>
    </row>
    <row r="33" spans="1:4">
      <c r="A33" s="24" t="s">
        <v>137</v>
      </c>
      <c r="B33" s="17" t="s">
        <v>138</v>
      </c>
      <c r="C33" s="18">
        <f>70323.12</f>
        <v>70323.12</v>
      </c>
      <c r="D33" s="19">
        <f>72221.87</f>
        <v>72221.87</v>
      </c>
    </row>
    <row r="34" spans="1:4">
      <c r="A34" s="24" t="s">
        <v>139</v>
      </c>
      <c r="B34" s="17" t="s">
        <v>140</v>
      </c>
      <c r="C34" s="18">
        <f>53222.04</f>
        <v>53222.04</v>
      </c>
      <c r="D34" s="19">
        <f>54060.42</f>
        <v>54060.42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509</v>
      </c>
      <c r="B39" s="17" t="s">
        <v>150</v>
      </c>
      <c r="C39" s="18">
        <f>146473.68</f>
        <v>146473.68</v>
      </c>
      <c r="D39" s="19">
        <v>72250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108774.41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30798.720000000001</v>
      </c>
      <c r="D45" s="27">
        <f>SUM(D46:D48)</f>
        <v>34002.21</v>
      </c>
    </row>
    <row r="46" spans="1:4">
      <c r="A46" s="21" t="s">
        <v>163</v>
      </c>
      <c r="B46" s="17" t="s">
        <v>164</v>
      </c>
      <c r="C46" s="18">
        <f>29698.2</f>
        <v>29698.2</v>
      </c>
      <c r="D46" s="19">
        <f>32901.69</f>
        <v>32901.69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1100.52</f>
        <v>1100.52</v>
      </c>
      <c r="D48" s="19">
        <f>1100.52</f>
        <v>1100.52</v>
      </c>
    </row>
    <row r="49" spans="1:7">
      <c r="A49" s="8" t="s">
        <v>440</v>
      </c>
      <c r="B49" s="28" t="s">
        <v>168</v>
      </c>
      <c r="C49" s="29">
        <f>346424.64</f>
        <v>346424.64</v>
      </c>
      <c r="D49" s="30">
        <v>443903.04</v>
      </c>
      <c r="G49" s="87"/>
    </row>
    <row r="50" spans="1:7">
      <c r="A50" s="8" t="s">
        <v>169</v>
      </c>
      <c r="B50" s="9" t="s">
        <v>170</v>
      </c>
      <c r="C50" s="14">
        <f>C8+C25+C40+C41+C42+C43+C44+C45+C49+C51+C52</f>
        <v>4727323.4399999995</v>
      </c>
      <c r="D50" s="15">
        <f>D8+D25+D40+D41+D42+D43+D44+D45+D49+D51+D52</f>
        <v>4727323.4399999995</v>
      </c>
    </row>
    <row r="51" spans="1:7">
      <c r="A51" s="8" t="s">
        <v>171</v>
      </c>
      <c r="B51" s="9" t="s">
        <v>172</v>
      </c>
      <c r="C51" s="26"/>
      <c r="D51" s="27"/>
    </row>
    <row r="52" spans="1:7">
      <c r="A52" s="8" t="s">
        <v>173</v>
      </c>
      <c r="B52" s="9" t="s">
        <v>174</v>
      </c>
      <c r="C52" s="26"/>
      <c r="D52" s="27"/>
    </row>
    <row r="53" spans="1:7" ht="28.5" hidden="1">
      <c r="A53" s="45" t="s">
        <v>175</v>
      </c>
      <c r="B53" s="20"/>
      <c r="C53" s="18"/>
      <c r="D53" s="19"/>
    </row>
    <row r="54" spans="1:7" ht="28.5" hidden="1">
      <c r="A54" s="45" t="s">
        <v>176</v>
      </c>
      <c r="B54" s="9" t="s">
        <v>177</v>
      </c>
      <c r="C54" s="26">
        <f>SUM(C55:C56)</f>
        <v>2737217.7</v>
      </c>
      <c r="D54" s="27">
        <f>SUM(D55:D56)</f>
        <v>0</v>
      </c>
    </row>
    <row r="55" spans="1:7" hidden="1">
      <c r="A55" s="21" t="s">
        <v>178</v>
      </c>
      <c r="B55" s="17" t="s">
        <v>179</v>
      </c>
      <c r="C55" s="18">
        <f>2659873.02</f>
        <v>2659873.02</v>
      </c>
      <c r="D55" s="19">
        <f>0</f>
        <v>0</v>
      </c>
    </row>
    <row r="56" spans="1:7" hidden="1">
      <c r="A56" s="21" t="s">
        <v>180</v>
      </c>
      <c r="B56" s="17" t="s">
        <v>181</v>
      </c>
      <c r="C56" s="18">
        <f>77344.68</f>
        <v>77344.679999999993</v>
      </c>
      <c r="D56" s="19">
        <f>0</f>
        <v>0</v>
      </c>
    </row>
    <row r="57" spans="1:7" ht="28.5" hidden="1">
      <c r="A57" s="45" t="s">
        <v>182</v>
      </c>
      <c r="B57" s="9" t="s">
        <v>183</v>
      </c>
      <c r="C57" s="26"/>
      <c r="D57" s="27"/>
    </row>
    <row r="58" spans="1:7" hidden="1">
      <c r="A58" s="31" t="s">
        <v>184</v>
      </c>
      <c r="B58" s="28" t="s">
        <v>185</v>
      </c>
      <c r="C58" s="29">
        <f>1464108</f>
        <v>1464108</v>
      </c>
      <c r="D58" s="30">
        <f>0</f>
        <v>0</v>
      </c>
    </row>
    <row r="59" spans="1:7" hidden="1">
      <c r="A59" s="45" t="s">
        <v>186</v>
      </c>
      <c r="B59" s="9"/>
      <c r="C59" s="26">
        <f>C54+C57+C58</f>
        <v>4201325.7</v>
      </c>
      <c r="D59" s="27">
        <f>D54+D57+D58</f>
        <v>0</v>
      </c>
    </row>
    <row r="60" spans="1:7" ht="25.5">
      <c r="A60" s="33" t="s">
        <v>188</v>
      </c>
      <c r="B60" s="9"/>
      <c r="C60" s="34">
        <v>17547.599999999999</v>
      </c>
      <c r="D60" s="35">
        <v>17547.599999999999</v>
      </c>
    </row>
    <row r="61" spans="1:7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7">
      <c r="A62" s="40"/>
      <c r="B62" s="41"/>
      <c r="C62" s="41"/>
      <c r="D62" s="41"/>
    </row>
    <row r="63" spans="1:7">
      <c r="A63" s="40"/>
      <c r="B63" s="2"/>
      <c r="C63" s="2"/>
      <c r="D63" s="2"/>
    </row>
    <row r="64" spans="1:7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G36" sqref="G36"/>
    </sheetView>
  </sheetViews>
  <sheetFormatPr defaultColWidth="11.7109375" defaultRowHeight="15"/>
  <cols>
    <col min="1" max="1" width="61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262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6583742.1699999999</v>
      </c>
      <c r="D8" s="11">
        <f>D9+D11+D14+D15</f>
        <v>6412738.6899999995</v>
      </c>
    </row>
    <row r="9" spans="1:4" ht="30">
      <c r="A9" s="12" t="s">
        <v>90</v>
      </c>
      <c r="B9" s="13" t="s">
        <v>91</v>
      </c>
      <c r="C9" s="14">
        <f>6355258.69</f>
        <v>6355258.6900000004</v>
      </c>
      <c r="D9" s="15">
        <f>5868379.27</f>
        <v>5868379.2699999996</v>
      </c>
    </row>
    <row r="10" spans="1:4">
      <c r="A10" s="16" t="s">
        <v>92</v>
      </c>
      <c r="B10" s="17" t="s">
        <v>93</v>
      </c>
      <c r="C10" s="18">
        <f>3584710.60675883</f>
        <v>3584710.6067588301</v>
      </c>
      <c r="D10" s="19">
        <f>_40h_E12</f>
        <v>3584710.6067588301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228483.47999999998</v>
      </c>
      <c r="D15" s="15">
        <f>SUM(D16:D24)</f>
        <v>544359.42000000004</v>
      </c>
    </row>
    <row r="16" spans="1:4">
      <c r="A16" s="22" t="s">
        <v>103</v>
      </c>
      <c r="B16" s="17" t="s">
        <v>104</v>
      </c>
      <c r="C16" s="111">
        <v>119616.84</v>
      </c>
      <c r="D16" s="113">
        <v>448679.77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83543.64</f>
        <v>83543.64</v>
      </c>
      <c r="D18" s="19">
        <f>70351.14</f>
        <v>70351.14</v>
      </c>
    </row>
    <row r="19" spans="1:4">
      <c r="A19" s="22" t="s">
        <v>109</v>
      </c>
      <c r="B19" s="17" t="s">
        <v>110</v>
      </c>
      <c r="C19" s="18">
        <f>15023.74</f>
        <v>15023.74</v>
      </c>
      <c r="D19" s="19">
        <f>15033.84</f>
        <v>15033.84</v>
      </c>
    </row>
    <row r="20" spans="1:4">
      <c r="A20" s="22" t="s">
        <v>111</v>
      </c>
      <c r="B20" s="17" t="s">
        <v>112</v>
      </c>
      <c r="C20" s="18">
        <f>10299.26</f>
        <v>10299.26</v>
      </c>
      <c r="D20" s="19">
        <f>10294.67</f>
        <v>10294.67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3628824.11</v>
      </c>
      <c r="D25" s="15">
        <f>D26+D27+D30+D28+D29+D31</f>
        <v>3791635.78</v>
      </c>
    </row>
    <row r="26" spans="1:4" ht="22.5" customHeight="1">
      <c r="A26" s="24" t="s">
        <v>123</v>
      </c>
      <c r="B26" s="20" t="s">
        <v>124</v>
      </c>
      <c r="C26" s="18">
        <f>2218159.56</f>
        <v>2218159.56</v>
      </c>
      <c r="D26" s="19">
        <f>2146874.21</f>
        <v>2146874.21</v>
      </c>
    </row>
    <row r="27" spans="1:4" ht="45">
      <c r="A27" s="24" t="s">
        <v>125</v>
      </c>
      <c r="B27" s="20" t="s">
        <v>126</v>
      </c>
      <c r="C27" s="18">
        <f>100307.76</f>
        <v>100307.76</v>
      </c>
      <c r="D27" s="19">
        <f>100231.63</f>
        <v>100231.63</v>
      </c>
    </row>
    <row r="28" spans="1:4" ht="35.25" customHeight="1">
      <c r="A28" s="21" t="s">
        <v>127</v>
      </c>
      <c r="B28" s="20" t="s">
        <v>128</v>
      </c>
      <c r="C28" s="18">
        <f>1017312</f>
        <v>1017312</v>
      </c>
      <c r="D28" s="19">
        <f>1017312.12</f>
        <v>1017312.12</v>
      </c>
    </row>
    <row r="29" spans="1:4">
      <c r="A29" s="21" t="s">
        <v>129</v>
      </c>
      <c r="B29" s="20" t="s">
        <v>130</v>
      </c>
      <c r="C29" s="18">
        <f>116230.08</f>
        <v>116230.08</v>
      </c>
      <c r="D29" s="19">
        <f>115213.92</f>
        <v>115213.92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176814.71</v>
      </c>
      <c r="D31" s="15">
        <f>SUM(D32:D39)</f>
        <v>412003.9</v>
      </c>
    </row>
    <row r="32" spans="1:4" ht="22.5" customHeight="1">
      <c r="A32" s="24" t="s">
        <v>135</v>
      </c>
      <c r="B32" s="17" t="s">
        <v>136</v>
      </c>
      <c r="C32" s="18">
        <f>21262.82</f>
        <v>21262.82</v>
      </c>
      <c r="D32" s="19">
        <f>21262.79</f>
        <v>21262.79</v>
      </c>
    </row>
    <row r="33" spans="1:4">
      <c r="A33" s="24" t="s">
        <v>137</v>
      </c>
      <c r="B33" s="17" t="s">
        <v>138</v>
      </c>
      <c r="C33" s="18">
        <f>36899.28</f>
        <v>36899.279999999999</v>
      </c>
      <c r="D33" s="19">
        <f>203627.03</f>
        <v>203627.03</v>
      </c>
    </row>
    <row r="34" spans="1:4">
      <c r="A34" s="24" t="s">
        <v>139</v>
      </c>
      <c r="B34" s="17" t="s">
        <v>140</v>
      </c>
      <c r="C34" s="18">
        <f>118339.8</f>
        <v>118339.8</v>
      </c>
      <c r="D34" s="19">
        <f>120764.5</f>
        <v>120764.5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476</v>
      </c>
      <c r="B39" s="17" t="s">
        <v>150</v>
      </c>
      <c r="C39" s="18">
        <v>312.81</v>
      </c>
      <c r="D39" s="19">
        <f>66349.58</f>
        <v>66349.58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1.7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2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49790.159999999996</v>
      </c>
      <c r="D45" s="27">
        <f>SUM(D46:D48)</f>
        <v>39120.379999999997</v>
      </c>
    </row>
    <row r="46" spans="1:4">
      <c r="A46" s="21" t="s">
        <v>163</v>
      </c>
      <c r="B46" s="17" t="s">
        <v>164</v>
      </c>
      <c r="C46" s="18">
        <f>47148.84</f>
        <v>47148.84</v>
      </c>
      <c r="D46" s="19">
        <f>36479.06</f>
        <v>36479.06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459224.76</f>
        <v>459224.76</v>
      </c>
      <c r="D49" s="30">
        <f>478086.35</f>
        <v>478086.35</v>
      </c>
    </row>
    <row r="50" spans="1:4">
      <c r="A50" s="8" t="s">
        <v>169</v>
      </c>
      <c r="B50" s="9" t="s">
        <v>170</v>
      </c>
      <c r="C50" s="14">
        <f>C8+C25+C40+C41+C42+C43+C44+C45+C49+C51+C52</f>
        <v>10721581.199999999</v>
      </c>
      <c r="D50" s="15">
        <f>D8+D25+D40+D41+D42+D43+D44+D45+D49+D51+D52</f>
        <v>10721581.199999999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6137607.54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5885662.74</f>
        <v>5885662.7400000002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251944.8</f>
        <v>251944.8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3112830</f>
        <v>3112830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9250437.5399999991</v>
      </c>
      <c r="D59" s="27">
        <f>D54+D57+D58</f>
        <v>0</v>
      </c>
    </row>
    <row r="60" spans="1:4" ht="25.5">
      <c r="A60" s="33" t="s">
        <v>188</v>
      </c>
      <c r="B60" s="9"/>
      <c r="C60" s="34">
        <v>39798</v>
      </c>
      <c r="D60" s="35">
        <v>39798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195</v>
      </c>
      <c r="D7" t="s">
        <v>195</v>
      </c>
    </row>
    <row r="8" spans="3:4">
      <c r="C8" t="s">
        <v>195</v>
      </c>
      <c r="D8" t="s">
        <v>195</v>
      </c>
    </row>
    <row r="9" spans="3:4">
      <c r="C9" t="s">
        <v>195</v>
      </c>
      <c r="D9" t="s">
        <v>195</v>
      </c>
    </row>
    <row r="10" spans="3:4">
      <c r="C10" t="s">
        <v>195</v>
      </c>
      <c r="D10" t="s">
        <v>195</v>
      </c>
    </row>
    <row r="11" spans="3:4">
      <c r="C11" t="s">
        <v>195</v>
      </c>
      <c r="D11" t="s">
        <v>195</v>
      </c>
    </row>
    <row r="12" spans="3:4">
      <c r="C12" t="s">
        <v>195</v>
      </c>
      <c r="D12" t="s">
        <v>195</v>
      </c>
    </row>
    <row r="13" spans="3:4">
      <c r="C13" t="s">
        <v>195</v>
      </c>
      <c r="D13" t="s">
        <v>195</v>
      </c>
    </row>
    <row r="14" spans="3:4">
      <c r="C14" t="s">
        <v>195</v>
      </c>
      <c r="D14" t="s">
        <v>195</v>
      </c>
    </row>
    <row r="15" spans="3:4">
      <c r="C15" t="s">
        <v>195</v>
      </c>
      <c r="D15" t="s">
        <v>195</v>
      </c>
    </row>
    <row r="16" spans="3:4">
      <c r="C16" t="s">
        <v>195</v>
      </c>
      <c r="D16" t="s">
        <v>195</v>
      </c>
    </row>
    <row r="17" spans="3:4">
      <c r="C17" t="s">
        <v>195</v>
      </c>
      <c r="D17" t="s">
        <v>195</v>
      </c>
    </row>
    <row r="18" spans="3:4">
      <c r="C18" t="s">
        <v>195</v>
      </c>
      <c r="D18" t="s">
        <v>195</v>
      </c>
    </row>
    <row r="19" spans="3:4">
      <c r="C19" t="s">
        <v>195</v>
      </c>
      <c r="D19" t="s">
        <v>195</v>
      </c>
    </row>
    <row r="20" spans="3:4">
      <c r="C20" t="s">
        <v>195</v>
      </c>
      <c r="D20" t="s">
        <v>195</v>
      </c>
    </row>
    <row r="21" spans="3:4">
      <c r="C21" t="s">
        <v>195</v>
      </c>
      <c r="D21" t="s">
        <v>195</v>
      </c>
    </row>
    <row r="22" spans="3:4">
      <c r="C22" t="s">
        <v>195</v>
      </c>
      <c r="D22" t="s">
        <v>195</v>
      </c>
    </row>
    <row r="23" spans="3:4">
      <c r="C23" t="s">
        <v>195</v>
      </c>
      <c r="D23" t="s">
        <v>195</v>
      </c>
    </row>
    <row r="24" spans="3:4">
      <c r="C24" t="s">
        <v>195</v>
      </c>
      <c r="D24" t="s">
        <v>195</v>
      </c>
    </row>
    <row r="25" spans="3:4">
      <c r="C25" t="s">
        <v>195</v>
      </c>
      <c r="D25" t="s">
        <v>195</v>
      </c>
    </row>
    <row r="26" spans="3:4">
      <c r="C26" t="s">
        <v>195</v>
      </c>
      <c r="D26" t="s">
        <v>195</v>
      </c>
    </row>
    <row r="27" spans="3:4">
      <c r="C27" t="s">
        <v>195</v>
      </c>
      <c r="D27" t="s">
        <v>195</v>
      </c>
    </row>
    <row r="28" spans="3:4">
      <c r="C28" t="s">
        <v>195</v>
      </c>
      <c r="D28" t="s">
        <v>195</v>
      </c>
    </row>
    <row r="29" spans="3:4">
      <c r="C29" t="s">
        <v>195</v>
      </c>
      <c r="D29" t="s">
        <v>195</v>
      </c>
    </row>
    <row r="30" spans="3:4">
      <c r="C30" t="s">
        <v>195</v>
      </c>
      <c r="D30" t="s">
        <v>195</v>
      </c>
    </row>
    <row r="31" spans="3:4">
      <c r="C31" t="s">
        <v>195</v>
      </c>
      <c r="D31" t="s">
        <v>195</v>
      </c>
    </row>
    <row r="32" spans="3:4">
      <c r="C32" t="s">
        <v>195</v>
      </c>
      <c r="D32" t="s">
        <v>195</v>
      </c>
    </row>
    <row r="33" spans="3:4">
      <c r="C33" t="s">
        <v>195</v>
      </c>
      <c r="D33" t="s">
        <v>195</v>
      </c>
    </row>
    <row r="34" spans="3:4">
      <c r="C34" t="s">
        <v>195</v>
      </c>
      <c r="D34" t="s">
        <v>195</v>
      </c>
    </row>
    <row r="35" spans="3:4">
      <c r="C35" t="s">
        <v>195</v>
      </c>
      <c r="D35" t="s">
        <v>195</v>
      </c>
    </row>
    <row r="36" spans="3:4">
      <c r="C36" t="s">
        <v>195</v>
      </c>
      <c r="D36" t="s">
        <v>195</v>
      </c>
    </row>
    <row r="37" spans="3:4">
      <c r="C37" t="s">
        <v>195</v>
      </c>
      <c r="D37" t="s">
        <v>195</v>
      </c>
    </row>
    <row r="38" spans="3:4">
      <c r="C38" t="s">
        <v>195</v>
      </c>
      <c r="D38" t="s">
        <v>195</v>
      </c>
    </row>
    <row r="39" spans="3:4">
      <c r="C39" t="s">
        <v>195</v>
      </c>
      <c r="D39" t="s">
        <v>195</v>
      </c>
    </row>
    <row r="40" spans="3:4">
      <c r="C40" t="s">
        <v>195</v>
      </c>
      <c r="D40" t="s">
        <v>195</v>
      </c>
    </row>
    <row r="41" spans="3:4">
      <c r="C41" t="s">
        <v>195</v>
      </c>
      <c r="D41" t="s">
        <v>195</v>
      </c>
    </row>
    <row r="42" spans="3:4">
      <c r="C42" t="s">
        <v>195</v>
      </c>
      <c r="D42" t="s">
        <v>195</v>
      </c>
    </row>
    <row r="43" spans="3:4">
      <c r="C43" t="s">
        <v>195</v>
      </c>
      <c r="D43" t="s">
        <v>195</v>
      </c>
    </row>
    <row r="44" spans="3:4">
      <c r="C44" t="s">
        <v>195</v>
      </c>
      <c r="D44" t="s">
        <v>195</v>
      </c>
    </row>
    <row r="45" spans="3:4">
      <c r="C45" t="s">
        <v>195</v>
      </c>
      <c r="D45" t="s">
        <v>195</v>
      </c>
    </row>
    <row r="46" spans="3:4">
      <c r="C46" t="s">
        <v>195</v>
      </c>
      <c r="D46" t="s">
        <v>195</v>
      </c>
    </row>
    <row r="47" spans="3:4">
      <c r="C47" t="s">
        <v>195</v>
      </c>
      <c r="D47" t="s">
        <v>195</v>
      </c>
    </row>
    <row r="48" spans="3:4">
      <c r="C48" t="s">
        <v>195</v>
      </c>
      <c r="D48" t="s">
        <v>195</v>
      </c>
    </row>
    <row r="49" spans="3:4">
      <c r="C49" t="s">
        <v>195</v>
      </c>
      <c r="D49" t="s">
        <v>195</v>
      </c>
    </row>
    <row r="50" spans="3:4">
      <c r="C50" t="s">
        <v>195</v>
      </c>
      <c r="D50" t="s">
        <v>195</v>
      </c>
    </row>
    <row r="51" spans="3:4">
      <c r="C51" t="s">
        <v>195</v>
      </c>
      <c r="D51" t="s">
        <v>195</v>
      </c>
    </row>
    <row r="52" spans="3:4">
      <c r="C52" t="s">
        <v>195</v>
      </c>
      <c r="D52" t="s">
        <v>195</v>
      </c>
    </row>
    <row r="53" spans="3:4">
      <c r="C53" t="s">
        <v>195</v>
      </c>
      <c r="D53" t="s">
        <v>195</v>
      </c>
    </row>
    <row r="54" spans="3:4">
      <c r="C54" t="s">
        <v>195</v>
      </c>
      <c r="D54" t="s">
        <v>195</v>
      </c>
    </row>
    <row r="55" spans="3:4">
      <c r="C55" t="s">
        <v>195</v>
      </c>
      <c r="D55" t="s">
        <v>195</v>
      </c>
    </row>
    <row r="56" spans="3:4">
      <c r="C56" t="s">
        <v>195</v>
      </c>
      <c r="D56" t="s">
        <v>195</v>
      </c>
    </row>
    <row r="57" spans="3:4">
      <c r="C57" t="s">
        <v>195</v>
      </c>
      <c r="D57" t="s">
        <v>195</v>
      </c>
    </row>
    <row r="58" spans="3:4">
      <c r="C58" t="s">
        <v>195</v>
      </c>
      <c r="D58" t="s">
        <v>195</v>
      </c>
    </row>
    <row r="59" spans="3:4">
      <c r="C59" t="s">
        <v>195</v>
      </c>
      <c r="D59" t="s">
        <v>195</v>
      </c>
    </row>
    <row r="60" spans="3:4">
      <c r="C60" t="s">
        <v>195</v>
      </c>
      <c r="D60" t="s">
        <v>195</v>
      </c>
    </row>
    <row r="61" spans="3:4">
      <c r="C61" t="s">
        <v>195</v>
      </c>
      <c r="D61" t="s">
        <v>195</v>
      </c>
    </row>
    <row r="62" spans="3:4">
      <c r="C62" t="s">
        <v>195</v>
      </c>
      <c r="D62" t="s">
        <v>195</v>
      </c>
    </row>
    <row r="63" spans="3:4">
      <c r="C63" t="s">
        <v>195</v>
      </c>
      <c r="D63" t="s">
        <v>195</v>
      </c>
    </row>
    <row r="64" spans="3:4">
      <c r="C64" t="s">
        <v>195</v>
      </c>
      <c r="D64" t="s">
        <v>195</v>
      </c>
    </row>
    <row r="65" spans="3:4">
      <c r="C65" t="s">
        <v>195</v>
      </c>
      <c r="D65" t="s">
        <v>195</v>
      </c>
    </row>
  </sheetData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193</v>
      </c>
      <c r="D7" t="s">
        <v>193</v>
      </c>
    </row>
    <row r="8" spans="3:4">
      <c r="C8" t="s">
        <v>193</v>
      </c>
      <c r="D8" t="s">
        <v>193</v>
      </c>
    </row>
    <row r="9" spans="3:4">
      <c r="C9" t="s">
        <v>193</v>
      </c>
      <c r="D9" t="s">
        <v>193</v>
      </c>
    </row>
    <row r="10" spans="3:4">
      <c r="C10" t="s">
        <v>193</v>
      </c>
      <c r="D10" t="s">
        <v>193</v>
      </c>
    </row>
    <row r="11" spans="3:4">
      <c r="C11" t="s">
        <v>193</v>
      </c>
      <c r="D11" t="s">
        <v>193</v>
      </c>
    </row>
    <row r="12" spans="3:4">
      <c r="C12" t="s">
        <v>193</v>
      </c>
      <c r="D12" t="s">
        <v>193</v>
      </c>
    </row>
    <row r="13" spans="3:4">
      <c r="C13" t="s">
        <v>193</v>
      </c>
      <c r="D13" t="s">
        <v>193</v>
      </c>
    </row>
    <row r="14" spans="3:4">
      <c r="C14" t="s">
        <v>193</v>
      </c>
      <c r="D14" t="s">
        <v>193</v>
      </c>
    </row>
    <row r="15" spans="3:4">
      <c r="C15" t="s">
        <v>193</v>
      </c>
      <c r="D15" t="s">
        <v>193</v>
      </c>
    </row>
    <row r="16" spans="3:4">
      <c r="C16" t="s">
        <v>193</v>
      </c>
      <c r="D16" t="s">
        <v>193</v>
      </c>
    </row>
    <row r="17" spans="3:4">
      <c r="C17" t="s">
        <v>193</v>
      </c>
      <c r="D17" t="s">
        <v>193</v>
      </c>
    </row>
    <row r="18" spans="3:4">
      <c r="C18" t="s">
        <v>193</v>
      </c>
      <c r="D18" t="s">
        <v>193</v>
      </c>
    </row>
    <row r="19" spans="3:4">
      <c r="C19" t="s">
        <v>193</v>
      </c>
      <c r="D19" t="s">
        <v>193</v>
      </c>
    </row>
    <row r="20" spans="3:4">
      <c r="C20" t="s">
        <v>193</v>
      </c>
      <c r="D20" t="s">
        <v>193</v>
      </c>
    </row>
    <row r="21" spans="3:4">
      <c r="C21" t="s">
        <v>193</v>
      </c>
      <c r="D21" t="s">
        <v>193</v>
      </c>
    </row>
    <row r="22" spans="3:4">
      <c r="C22" t="s">
        <v>193</v>
      </c>
      <c r="D22" t="s">
        <v>193</v>
      </c>
    </row>
    <row r="23" spans="3:4">
      <c r="C23" t="s">
        <v>193</v>
      </c>
      <c r="D23" t="s">
        <v>193</v>
      </c>
    </row>
    <row r="24" spans="3:4">
      <c r="C24" t="s">
        <v>193</v>
      </c>
      <c r="D24" t="s">
        <v>193</v>
      </c>
    </row>
    <row r="25" spans="3:4">
      <c r="C25" t="s">
        <v>193</v>
      </c>
      <c r="D25" t="s">
        <v>193</v>
      </c>
    </row>
    <row r="26" spans="3:4">
      <c r="C26" t="s">
        <v>193</v>
      </c>
      <c r="D26" t="s">
        <v>193</v>
      </c>
    </row>
    <row r="27" spans="3:4">
      <c r="C27" t="s">
        <v>193</v>
      </c>
      <c r="D27" t="s">
        <v>193</v>
      </c>
    </row>
    <row r="28" spans="3:4">
      <c r="C28" t="s">
        <v>193</v>
      </c>
      <c r="D28" t="s">
        <v>193</v>
      </c>
    </row>
    <row r="29" spans="3:4">
      <c r="C29" t="s">
        <v>193</v>
      </c>
      <c r="D29" t="s">
        <v>193</v>
      </c>
    </row>
    <row r="30" spans="3:4">
      <c r="C30" t="s">
        <v>193</v>
      </c>
      <c r="D30" t="s">
        <v>193</v>
      </c>
    </row>
    <row r="31" spans="3:4">
      <c r="C31" t="s">
        <v>193</v>
      </c>
      <c r="D31" t="s">
        <v>193</v>
      </c>
    </row>
    <row r="32" spans="3:4">
      <c r="C32" t="s">
        <v>193</v>
      </c>
      <c r="D32" t="s">
        <v>193</v>
      </c>
    </row>
    <row r="33" spans="3:4">
      <c r="C33" t="s">
        <v>193</v>
      </c>
      <c r="D33" t="s">
        <v>193</v>
      </c>
    </row>
    <row r="34" spans="3:4">
      <c r="C34" t="s">
        <v>193</v>
      </c>
      <c r="D34" t="s">
        <v>193</v>
      </c>
    </row>
    <row r="35" spans="3:4">
      <c r="C35" t="s">
        <v>193</v>
      </c>
      <c r="D35" t="s">
        <v>193</v>
      </c>
    </row>
    <row r="36" spans="3:4">
      <c r="C36" t="s">
        <v>193</v>
      </c>
      <c r="D36" t="s">
        <v>193</v>
      </c>
    </row>
    <row r="37" spans="3:4">
      <c r="C37" t="s">
        <v>193</v>
      </c>
      <c r="D37" t="s">
        <v>193</v>
      </c>
    </row>
    <row r="38" spans="3:4">
      <c r="C38" t="s">
        <v>193</v>
      </c>
      <c r="D38" t="s">
        <v>193</v>
      </c>
    </row>
    <row r="39" spans="3:4">
      <c r="C39" t="s">
        <v>193</v>
      </c>
      <c r="D39" t="s">
        <v>193</v>
      </c>
    </row>
    <row r="40" spans="3:4">
      <c r="C40" t="s">
        <v>193</v>
      </c>
      <c r="D40" t="s">
        <v>193</v>
      </c>
    </row>
    <row r="41" spans="3:4">
      <c r="C41" t="s">
        <v>193</v>
      </c>
      <c r="D41" t="s">
        <v>193</v>
      </c>
    </row>
    <row r="42" spans="3:4">
      <c r="C42" t="s">
        <v>193</v>
      </c>
      <c r="D42" t="s">
        <v>193</v>
      </c>
    </row>
    <row r="43" spans="3:4">
      <c r="C43" t="s">
        <v>193</v>
      </c>
      <c r="D43" t="s">
        <v>193</v>
      </c>
    </row>
    <row r="44" spans="3:4">
      <c r="C44" t="s">
        <v>193</v>
      </c>
      <c r="D44" t="s">
        <v>193</v>
      </c>
    </row>
    <row r="45" spans="3:4">
      <c r="C45" t="s">
        <v>193</v>
      </c>
      <c r="D45" t="s">
        <v>193</v>
      </c>
    </row>
    <row r="46" spans="3:4">
      <c r="C46" t="s">
        <v>193</v>
      </c>
      <c r="D46" t="s">
        <v>193</v>
      </c>
    </row>
    <row r="47" spans="3:4">
      <c r="C47" t="s">
        <v>193</v>
      </c>
      <c r="D47" t="s">
        <v>193</v>
      </c>
    </row>
    <row r="48" spans="3:4">
      <c r="C48" t="s">
        <v>193</v>
      </c>
      <c r="D48" t="s">
        <v>193</v>
      </c>
    </row>
    <row r="49" spans="3:4">
      <c r="C49" t="s">
        <v>193</v>
      </c>
      <c r="D49" t="s">
        <v>193</v>
      </c>
    </row>
    <row r="50" spans="3:4">
      <c r="C50" t="s">
        <v>193</v>
      </c>
      <c r="D50" t="s">
        <v>193</v>
      </c>
    </row>
    <row r="51" spans="3:4">
      <c r="C51" t="s">
        <v>193</v>
      </c>
      <c r="D51" t="s">
        <v>193</v>
      </c>
    </row>
    <row r="52" spans="3:4">
      <c r="C52" t="s">
        <v>193</v>
      </c>
      <c r="D52" t="s">
        <v>193</v>
      </c>
    </row>
    <row r="53" spans="3:4">
      <c r="C53" t="s">
        <v>193</v>
      </c>
      <c r="D53" t="s">
        <v>193</v>
      </c>
    </row>
    <row r="54" spans="3:4">
      <c r="C54" t="s">
        <v>193</v>
      </c>
      <c r="D54" t="s">
        <v>193</v>
      </c>
    </row>
    <row r="55" spans="3:4">
      <c r="C55" t="s">
        <v>193</v>
      </c>
      <c r="D55" t="s">
        <v>193</v>
      </c>
    </row>
    <row r="56" spans="3:4">
      <c r="C56" t="s">
        <v>193</v>
      </c>
      <c r="D56" t="s">
        <v>193</v>
      </c>
    </row>
    <row r="57" spans="3:4">
      <c r="C57" t="s">
        <v>193</v>
      </c>
      <c r="D57" t="s">
        <v>193</v>
      </c>
    </row>
    <row r="58" spans="3:4">
      <c r="C58" t="s">
        <v>193</v>
      </c>
      <c r="D58" t="s">
        <v>193</v>
      </c>
    </row>
    <row r="59" spans="3:4">
      <c r="C59" t="s">
        <v>193</v>
      </c>
      <c r="D59" t="s">
        <v>193</v>
      </c>
    </row>
    <row r="60" spans="3:4">
      <c r="C60" t="s">
        <v>193</v>
      </c>
      <c r="D60" t="s">
        <v>193</v>
      </c>
    </row>
    <row r="61" spans="3:4">
      <c r="C61" t="s">
        <v>193</v>
      </c>
      <c r="D61" t="s">
        <v>193</v>
      </c>
    </row>
    <row r="62" spans="3:4">
      <c r="C62" t="s">
        <v>193</v>
      </c>
      <c r="D62" t="s">
        <v>193</v>
      </c>
    </row>
    <row r="63" spans="3:4">
      <c r="C63" t="s">
        <v>193</v>
      </c>
      <c r="D63" t="s">
        <v>193</v>
      </c>
    </row>
    <row r="64" spans="3:4">
      <c r="C64" t="s">
        <v>193</v>
      </c>
      <c r="D64" t="s">
        <v>193</v>
      </c>
    </row>
    <row r="65" spans="3:4">
      <c r="C65" t="s">
        <v>193</v>
      </c>
      <c r="D65" t="s">
        <v>193</v>
      </c>
    </row>
  </sheetData>
  <pageMargins left="0.7" right="0.7" top="0.75" bottom="0.75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>
  <dimension ref="C7:D64"/>
  <sheetViews>
    <sheetView workbookViewId="0"/>
  </sheetViews>
  <sheetFormatPr defaultRowHeight="15"/>
  <sheetData>
    <row r="7" spans="3:4">
      <c r="C7" t="s">
        <v>190</v>
      </c>
    </row>
    <row r="11" spans="3:4">
      <c r="C11" t="s">
        <v>0</v>
      </c>
      <c r="D11" t="s">
        <v>1</v>
      </c>
    </row>
    <row r="12" spans="3:4">
      <c r="C12" t="s">
        <v>2</v>
      </c>
      <c r="D12" t="s">
        <v>3</v>
      </c>
    </row>
    <row r="14" spans="3:4">
      <c r="C14" t="s">
        <v>4</v>
      </c>
      <c r="D14" t="s">
        <v>5</v>
      </c>
    </row>
    <row r="15" spans="3:4">
      <c r="C15" t="s">
        <v>6</v>
      </c>
      <c r="D15" t="s">
        <v>7</v>
      </c>
    </row>
    <row r="16" spans="3:4">
      <c r="C16" t="s">
        <v>8</v>
      </c>
      <c r="D16" t="s">
        <v>9</v>
      </c>
    </row>
    <row r="18" spans="3:4">
      <c r="C18" t="s">
        <v>10</v>
      </c>
      <c r="D18" t="s">
        <v>11</v>
      </c>
    </row>
    <row r="19" spans="3:4">
      <c r="C19" t="s">
        <v>12</v>
      </c>
      <c r="D19" t="s">
        <v>13</v>
      </c>
    </row>
    <row r="20" spans="3:4">
      <c r="C20" t="s">
        <v>14</v>
      </c>
      <c r="D20" t="s">
        <v>15</v>
      </c>
    </row>
    <row r="21" spans="3:4">
      <c r="C21" t="s">
        <v>16</v>
      </c>
      <c r="D21" t="s">
        <v>17</v>
      </c>
    </row>
    <row r="22" spans="3:4">
      <c r="C22" t="s">
        <v>18</v>
      </c>
      <c r="D22" t="s">
        <v>19</v>
      </c>
    </row>
    <row r="23" spans="3:4">
      <c r="C23" t="s">
        <v>20</v>
      </c>
      <c r="D23" t="s">
        <v>21</v>
      </c>
    </row>
    <row r="24" spans="3:4">
      <c r="C24" t="s">
        <v>22</v>
      </c>
      <c r="D24" t="s">
        <v>23</v>
      </c>
    </row>
    <row r="25" spans="3:4">
      <c r="C25" t="s">
        <v>24</v>
      </c>
      <c r="D25" t="s">
        <v>25</v>
      </c>
    </row>
    <row r="26" spans="3:4">
      <c r="C26" t="s">
        <v>26</v>
      </c>
      <c r="D26" t="s">
        <v>27</v>
      </c>
    </row>
    <row r="28" spans="3:4">
      <c r="C28" t="s">
        <v>28</v>
      </c>
      <c r="D28" t="s">
        <v>29</v>
      </c>
    </row>
    <row r="29" spans="3:4">
      <c r="C29" t="s">
        <v>30</v>
      </c>
      <c r="D29" t="s">
        <v>31</v>
      </c>
    </row>
    <row r="30" spans="3:4">
      <c r="C30" t="s">
        <v>32</v>
      </c>
      <c r="D30" t="s">
        <v>33</v>
      </c>
    </row>
    <row r="31" spans="3:4">
      <c r="C31" t="s">
        <v>34</v>
      </c>
      <c r="D31" t="s">
        <v>35</v>
      </c>
    </row>
    <row r="32" spans="3:4">
      <c r="C32" t="s">
        <v>36</v>
      </c>
      <c r="D32" t="s">
        <v>37</v>
      </c>
    </row>
    <row r="34" spans="3:4">
      <c r="C34" t="s">
        <v>38</v>
      </c>
      <c r="D34" t="s">
        <v>39</v>
      </c>
    </row>
    <row r="35" spans="3:4">
      <c r="C35" t="s">
        <v>40</v>
      </c>
      <c r="D35" t="s">
        <v>41</v>
      </c>
    </row>
    <row r="36" spans="3:4">
      <c r="C36" t="s">
        <v>42</v>
      </c>
      <c r="D36" t="s">
        <v>43</v>
      </c>
    </row>
    <row r="37" spans="3:4">
      <c r="C37" t="s">
        <v>44</v>
      </c>
      <c r="D37" t="s">
        <v>45</v>
      </c>
    </row>
    <row r="38" spans="3:4">
      <c r="C38" t="s">
        <v>46</v>
      </c>
      <c r="D38" t="s">
        <v>47</v>
      </c>
    </row>
    <row r="39" spans="3:4">
      <c r="C39" t="s">
        <v>48</v>
      </c>
      <c r="D39" t="s">
        <v>49</v>
      </c>
    </row>
    <row r="40" spans="3:4">
      <c r="C40" t="s">
        <v>50</v>
      </c>
      <c r="D40" t="s">
        <v>51</v>
      </c>
    </row>
    <row r="41" spans="3:4">
      <c r="C41" t="s">
        <v>52</v>
      </c>
      <c r="D41" t="s">
        <v>53</v>
      </c>
    </row>
    <row r="42" spans="3:4">
      <c r="C42" t="s">
        <v>54</v>
      </c>
      <c r="D42" t="s">
        <v>55</v>
      </c>
    </row>
    <row r="43" spans="3:4">
      <c r="C43" t="s">
        <v>56</v>
      </c>
      <c r="D43" t="s">
        <v>57</v>
      </c>
    </row>
    <row r="44" spans="3:4">
      <c r="C44" t="s">
        <v>58</v>
      </c>
      <c r="D44" t="s">
        <v>59</v>
      </c>
    </row>
    <row r="45" spans="3:4">
      <c r="C45" t="s">
        <v>60</v>
      </c>
      <c r="D45" t="s">
        <v>61</v>
      </c>
    </row>
    <row r="46" spans="3:4">
      <c r="C46" t="s">
        <v>62</v>
      </c>
      <c r="D46" t="s">
        <v>63</v>
      </c>
    </row>
    <row r="48" spans="3:4">
      <c r="C48" t="s">
        <v>64</v>
      </c>
      <c r="D48" t="s">
        <v>65</v>
      </c>
    </row>
    <row r="49" spans="3:4">
      <c r="C49" t="s">
        <v>66</v>
      </c>
      <c r="D49" t="s">
        <v>67</v>
      </c>
    </row>
    <row r="50" spans="3:4">
      <c r="C50" t="s">
        <v>68</v>
      </c>
      <c r="D50" t="s">
        <v>69</v>
      </c>
    </row>
    <row r="51" spans="3:4">
      <c r="C51" t="s">
        <v>70</v>
      </c>
      <c r="D51" t="s">
        <v>71</v>
      </c>
    </row>
    <row r="52" spans="3:4">
      <c r="C52" t="s">
        <v>72</v>
      </c>
      <c r="D52" t="s">
        <v>73</v>
      </c>
    </row>
    <row r="58" spans="3:4">
      <c r="C58" t="s">
        <v>74</v>
      </c>
      <c r="D58" t="s">
        <v>75</v>
      </c>
    </row>
    <row r="59" spans="3:4">
      <c r="C59" t="s">
        <v>76</v>
      </c>
      <c r="D59" t="s">
        <v>77</v>
      </c>
    </row>
    <row r="61" spans="3:4">
      <c r="C61" t="s">
        <v>78</v>
      </c>
      <c r="D61" t="s">
        <v>79</v>
      </c>
    </row>
    <row r="63" spans="3:4">
      <c r="C63" t="s">
        <v>80</v>
      </c>
      <c r="D63" t="s">
        <v>80</v>
      </c>
    </row>
    <row r="64" spans="3:4">
      <c r="C64" t="s">
        <v>81</v>
      </c>
      <c r="D64" t="s">
        <v>81</v>
      </c>
    </row>
  </sheetData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>
  <dimension ref="C7:D65"/>
  <sheetViews>
    <sheetView workbookViewId="0"/>
  </sheetViews>
  <sheetFormatPr defaultRowHeight="15"/>
  <sheetData>
    <row r="7" spans="3:4">
      <c r="C7" t="s">
        <v>191</v>
      </c>
      <c r="D7" t="s">
        <v>191</v>
      </c>
    </row>
    <row r="8" spans="3:4">
      <c r="C8" t="s">
        <v>191</v>
      </c>
      <c r="D8" t="s">
        <v>191</v>
      </c>
    </row>
    <row r="9" spans="3:4">
      <c r="C9" t="s">
        <v>191</v>
      </c>
      <c r="D9" t="s">
        <v>191</v>
      </c>
    </row>
    <row r="10" spans="3:4">
      <c r="C10" t="s">
        <v>191</v>
      </c>
      <c r="D10" t="s">
        <v>191</v>
      </c>
    </row>
    <row r="11" spans="3:4">
      <c r="C11" t="s">
        <v>191</v>
      </c>
      <c r="D11" t="s">
        <v>191</v>
      </c>
    </row>
    <row r="12" spans="3:4">
      <c r="C12" t="s">
        <v>191</v>
      </c>
      <c r="D12" t="s">
        <v>191</v>
      </c>
    </row>
    <row r="13" spans="3:4">
      <c r="C13" t="s">
        <v>191</v>
      </c>
      <c r="D13" t="s">
        <v>191</v>
      </c>
    </row>
    <row r="14" spans="3:4">
      <c r="C14" t="s">
        <v>191</v>
      </c>
      <c r="D14" t="s">
        <v>191</v>
      </c>
    </row>
    <row r="15" spans="3:4">
      <c r="C15" t="s">
        <v>191</v>
      </c>
      <c r="D15" t="s">
        <v>191</v>
      </c>
    </row>
    <row r="16" spans="3:4">
      <c r="C16" t="s">
        <v>191</v>
      </c>
      <c r="D16" t="s">
        <v>191</v>
      </c>
    </row>
    <row r="17" spans="3:4">
      <c r="C17" t="s">
        <v>191</v>
      </c>
      <c r="D17" t="s">
        <v>191</v>
      </c>
    </row>
    <row r="18" spans="3:4">
      <c r="C18" t="s">
        <v>191</v>
      </c>
      <c r="D18" t="s">
        <v>191</v>
      </c>
    </row>
    <row r="19" spans="3:4">
      <c r="C19" t="s">
        <v>191</v>
      </c>
      <c r="D19" t="s">
        <v>191</v>
      </c>
    </row>
    <row r="20" spans="3:4">
      <c r="C20" t="s">
        <v>191</v>
      </c>
      <c r="D20" t="s">
        <v>191</v>
      </c>
    </row>
    <row r="21" spans="3:4">
      <c r="C21" t="s">
        <v>191</v>
      </c>
      <c r="D21" t="s">
        <v>191</v>
      </c>
    </row>
    <row r="22" spans="3:4">
      <c r="C22" t="s">
        <v>191</v>
      </c>
      <c r="D22" t="s">
        <v>191</v>
      </c>
    </row>
    <row r="23" spans="3:4">
      <c r="C23" t="s">
        <v>191</v>
      </c>
      <c r="D23" t="s">
        <v>191</v>
      </c>
    </row>
    <row r="24" spans="3:4">
      <c r="C24" t="s">
        <v>191</v>
      </c>
      <c r="D24" t="s">
        <v>191</v>
      </c>
    </row>
    <row r="25" spans="3:4">
      <c r="C25" t="s">
        <v>191</v>
      </c>
      <c r="D25" t="s">
        <v>191</v>
      </c>
    </row>
    <row r="26" spans="3:4">
      <c r="C26" t="s">
        <v>191</v>
      </c>
      <c r="D26" t="s">
        <v>191</v>
      </c>
    </row>
    <row r="27" spans="3:4">
      <c r="C27" t="s">
        <v>191</v>
      </c>
      <c r="D27" t="s">
        <v>191</v>
      </c>
    </row>
    <row r="28" spans="3:4">
      <c r="C28" t="s">
        <v>191</v>
      </c>
      <c r="D28" t="s">
        <v>191</v>
      </c>
    </row>
    <row r="29" spans="3:4">
      <c r="C29" t="s">
        <v>191</v>
      </c>
      <c r="D29" t="s">
        <v>191</v>
      </c>
    </row>
    <row r="30" spans="3:4">
      <c r="C30" t="s">
        <v>191</v>
      </c>
      <c r="D30" t="s">
        <v>191</v>
      </c>
    </row>
    <row r="31" spans="3:4">
      <c r="C31" t="s">
        <v>191</v>
      </c>
      <c r="D31" t="s">
        <v>191</v>
      </c>
    </row>
    <row r="32" spans="3:4">
      <c r="C32" t="s">
        <v>191</v>
      </c>
      <c r="D32" t="s">
        <v>191</v>
      </c>
    </row>
    <row r="33" spans="3:4">
      <c r="C33" t="s">
        <v>191</v>
      </c>
      <c r="D33" t="s">
        <v>191</v>
      </c>
    </row>
    <row r="34" spans="3:4">
      <c r="C34" t="s">
        <v>191</v>
      </c>
      <c r="D34" t="s">
        <v>191</v>
      </c>
    </row>
    <row r="35" spans="3:4">
      <c r="C35" t="s">
        <v>191</v>
      </c>
      <c r="D35" t="s">
        <v>191</v>
      </c>
    </row>
    <row r="36" spans="3:4">
      <c r="C36" t="s">
        <v>191</v>
      </c>
      <c r="D36" t="s">
        <v>191</v>
      </c>
    </row>
    <row r="37" spans="3:4">
      <c r="C37" t="s">
        <v>191</v>
      </c>
      <c r="D37" t="s">
        <v>191</v>
      </c>
    </row>
    <row r="38" spans="3:4">
      <c r="C38" t="s">
        <v>191</v>
      </c>
      <c r="D38" t="s">
        <v>191</v>
      </c>
    </row>
    <row r="39" spans="3:4">
      <c r="C39" t="s">
        <v>191</v>
      </c>
      <c r="D39" t="s">
        <v>191</v>
      </c>
    </row>
    <row r="40" spans="3:4">
      <c r="C40" t="s">
        <v>191</v>
      </c>
      <c r="D40" t="s">
        <v>191</v>
      </c>
    </row>
    <row r="41" spans="3:4">
      <c r="C41" t="s">
        <v>191</v>
      </c>
      <c r="D41" t="s">
        <v>191</v>
      </c>
    </row>
    <row r="42" spans="3:4">
      <c r="C42" t="s">
        <v>191</v>
      </c>
      <c r="D42" t="s">
        <v>191</v>
      </c>
    </row>
    <row r="43" spans="3:4">
      <c r="C43" t="s">
        <v>191</v>
      </c>
      <c r="D43" t="s">
        <v>191</v>
      </c>
    </row>
    <row r="44" spans="3:4">
      <c r="C44" t="s">
        <v>191</v>
      </c>
      <c r="D44" t="s">
        <v>191</v>
      </c>
    </row>
    <row r="45" spans="3:4">
      <c r="C45" t="s">
        <v>191</v>
      </c>
      <c r="D45" t="s">
        <v>191</v>
      </c>
    </row>
    <row r="46" spans="3:4">
      <c r="C46" t="s">
        <v>191</v>
      </c>
      <c r="D46" t="s">
        <v>191</v>
      </c>
    </row>
    <row r="47" spans="3:4">
      <c r="C47" t="s">
        <v>191</v>
      </c>
      <c r="D47" t="s">
        <v>191</v>
      </c>
    </row>
    <row r="48" spans="3:4">
      <c r="C48" t="s">
        <v>191</v>
      </c>
      <c r="D48" t="s">
        <v>191</v>
      </c>
    </row>
    <row r="49" spans="3:4">
      <c r="C49" t="s">
        <v>191</v>
      </c>
      <c r="D49" t="s">
        <v>191</v>
      </c>
    </row>
    <row r="50" spans="3:4">
      <c r="C50" t="s">
        <v>191</v>
      </c>
      <c r="D50" t="s">
        <v>191</v>
      </c>
    </row>
    <row r="51" spans="3:4">
      <c r="C51" t="s">
        <v>191</v>
      </c>
      <c r="D51" t="s">
        <v>191</v>
      </c>
    </row>
    <row r="52" spans="3:4">
      <c r="C52" t="s">
        <v>191</v>
      </c>
      <c r="D52" t="s">
        <v>191</v>
      </c>
    </row>
    <row r="53" spans="3:4">
      <c r="C53" t="s">
        <v>191</v>
      </c>
      <c r="D53" t="s">
        <v>191</v>
      </c>
    </row>
    <row r="54" spans="3:4">
      <c r="C54" t="s">
        <v>191</v>
      </c>
      <c r="D54" t="s">
        <v>191</v>
      </c>
    </row>
    <row r="55" spans="3:4">
      <c r="C55" t="s">
        <v>191</v>
      </c>
      <c r="D55" t="s">
        <v>191</v>
      </c>
    </row>
    <row r="56" spans="3:4">
      <c r="C56" t="s">
        <v>191</v>
      </c>
      <c r="D56" t="s">
        <v>191</v>
      </c>
    </row>
    <row r="57" spans="3:4">
      <c r="C57" t="s">
        <v>191</v>
      </c>
      <c r="D57" t="s">
        <v>191</v>
      </c>
    </row>
    <row r="58" spans="3:4">
      <c r="C58" t="s">
        <v>191</v>
      </c>
      <c r="D58" t="s">
        <v>191</v>
      </c>
    </row>
    <row r="59" spans="3:4">
      <c r="C59" t="s">
        <v>191</v>
      </c>
      <c r="D59" t="s">
        <v>191</v>
      </c>
    </row>
    <row r="60" spans="3:4">
      <c r="C60" t="s">
        <v>191</v>
      </c>
      <c r="D60" t="s">
        <v>191</v>
      </c>
    </row>
    <row r="61" spans="3:4">
      <c r="C61" t="s">
        <v>191</v>
      </c>
      <c r="D61" t="s">
        <v>191</v>
      </c>
    </row>
    <row r="62" spans="3:4">
      <c r="C62" t="s">
        <v>191</v>
      </c>
      <c r="D62" t="s">
        <v>191</v>
      </c>
    </row>
    <row r="63" spans="3:4">
      <c r="C63" t="s">
        <v>191</v>
      </c>
      <c r="D63" t="s">
        <v>191</v>
      </c>
    </row>
    <row r="64" spans="3:4">
      <c r="C64" t="s">
        <v>191</v>
      </c>
      <c r="D64" t="s">
        <v>191</v>
      </c>
    </row>
    <row r="65" spans="3:4">
      <c r="C65" t="s">
        <v>191</v>
      </c>
      <c r="D65" t="s">
        <v>191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G11" sqref="G11"/>
    </sheetView>
  </sheetViews>
  <sheetFormatPr defaultColWidth="11.7109375" defaultRowHeight="15"/>
  <cols>
    <col min="1" max="1" width="59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12" customHeight="1">
      <c r="A5" s="115" t="s">
        <v>83</v>
      </c>
      <c r="B5" s="117" t="s">
        <v>84</v>
      </c>
      <c r="C5" s="119" t="s">
        <v>485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6093532.6799999997</v>
      </c>
      <c r="D8" s="11">
        <f>D9+D11+D14+D15</f>
        <v>5830096.5500000007</v>
      </c>
    </row>
    <row r="9" spans="1:4" ht="30">
      <c r="A9" s="12" t="s">
        <v>90</v>
      </c>
      <c r="B9" s="13" t="s">
        <v>91</v>
      </c>
      <c r="C9" s="14">
        <f>5415702.79</f>
        <v>5415702.79</v>
      </c>
      <c r="D9" s="15">
        <f>5310793.82</f>
        <v>5310793.82</v>
      </c>
    </row>
    <row r="10" spans="1:4">
      <c r="A10" s="16" t="s">
        <v>92</v>
      </c>
      <c r="B10" s="17" t="s">
        <v>93</v>
      </c>
      <c r="C10" s="18">
        <f>3185615.62980031</f>
        <v>3185615.6298003099</v>
      </c>
      <c r="D10" s="19">
        <f>_41h_E12</f>
        <v>3185615.6298003099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677829.89</v>
      </c>
      <c r="D15" s="15">
        <f>SUM(D16:D24)</f>
        <v>519302.7300000001</v>
      </c>
    </row>
    <row r="16" spans="1:4">
      <c r="A16" s="22" t="s">
        <v>103</v>
      </c>
      <c r="B16" s="17" t="s">
        <v>104</v>
      </c>
      <c r="C16" s="111">
        <v>429819.72</v>
      </c>
      <c r="D16" s="113">
        <v>235857.98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139733.76</f>
        <v>139733.76000000001</v>
      </c>
      <c r="D18" s="19">
        <f>175167.07</f>
        <v>175167.07</v>
      </c>
    </row>
    <row r="19" spans="1:4">
      <c r="A19" s="22" t="s">
        <v>109</v>
      </c>
      <c r="B19" s="17" t="s">
        <v>110</v>
      </c>
      <c r="C19" s="18">
        <f>12769.86</f>
        <v>12769.86</v>
      </c>
      <c r="D19" s="19">
        <f>12778.44</f>
        <v>12778.44</v>
      </c>
    </row>
    <row r="20" spans="1:4">
      <c r="A20" s="22" t="s">
        <v>111</v>
      </c>
      <c r="B20" s="17" t="s">
        <v>112</v>
      </c>
      <c r="C20" s="18">
        <f>16835.28</f>
        <v>16835.28</v>
      </c>
      <c r="D20" s="19">
        <f>16827.97</f>
        <v>16827.97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78671.27</f>
        <v>78671.27</v>
      </c>
      <c r="D22" s="19">
        <f>78671.27</f>
        <v>78671.27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1318022.76</v>
      </c>
      <c r="D25" s="15">
        <f>D26+D27+D30+D28+D29+D31</f>
        <v>1409920.4300000002</v>
      </c>
    </row>
    <row r="26" spans="1:4" ht="20.25" customHeight="1">
      <c r="A26" s="24" t="s">
        <v>123</v>
      </c>
      <c r="B26" s="20" t="s">
        <v>124</v>
      </c>
      <c r="C26" s="18">
        <f>570506.4</f>
        <v>570506.4</v>
      </c>
      <c r="D26" s="19">
        <f>570506.4</f>
        <v>570506.4</v>
      </c>
    </row>
    <row r="27" spans="1:4" ht="45">
      <c r="A27" s="24" t="s">
        <v>125</v>
      </c>
      <c r="B27" s="20" t="s">
        <v>126</v>
      </c>
      <c r="C27" s="18">
        <f>86557.08</f>
        <v>86557.08</v>
      </c>
      <c r="D27" s="19">
        <f>86450.17</f>
        <v>86450.17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87314.28</f>
        <v>87314.28</v>
      </c>
      <c r="D29" s="19">
        <f>86550.99</f>
        <v>86550.99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573645</v>
      </c>
      <c r="D31" s="15">
        <f>SUM(D32:D39)</f>
        <v>666412.87</v>
      </c>
    </row>
    <row r="32" spans="1:4" ht="20.25" customHeight="1">
      <c r="A32" s="24" t="s">
        <v>135</v>
      </c>
      <c r="B32" s="17" t="s">
        <v>136</v>
      </c>
      <c r="C32" s="18">
        <f>170183.48</f>
        <v>170183.48</v>
      </c>
      <c r="D32" s="19">
        <f>170183.54</f>
        <v>170183.54</v>
      </c>
    </row>
    <row r="33" spans="1:4">
      <c r="A33" s="24" t="s">
        <v>137</v>
      </c>
      <c r="B33" s="17" t="s">
        <v>138</v>
      </c>
      <c r="C33" s="18">
        <f>117467.28</f>
        <v>117467.28</v>
      </c>
      <c r="D33" s="19">
        <f>114580.56</f>
        <v>114580.56</v>
      </c>
    </row>
    <row r="34" spans="1:4">
      <c r="A34" s="24" t="s">
        <v>139</v>
      </c>
      <c r="B34" s="17" t="s">
        <v>140</v>
      </c>
      <c r="C34" s="18">
        <f>60605.52</f>
        <v>60605.52</v>
      </c>
      <c r="D34" s="19">
        <f>61245.07</f>
        <v>61245.07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484</v>
      </c>
      <c r="B39" s="17" t="s">
        <v>150</v>
      </c>
      <c r="C39" s="18">
        <v>225388.72</v>
      </c>
      <c r="D39" s="19">
        <f>320403.7</f>
        <v>320403.7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3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52469.64</v>
      </c>
      <c r="D45" s="27">
        <f>SUM(D46:D48)</f>
        <v>57927.57</v>
      </c>
    </row>
    <row r="46" spans="1:4">
      <c r="A46" s="21" t="s">
        <v>163</v>
      </c>
      <c r="B46" s="17" t="s">
        <v>164</v>
      </c>
      <c r="C46" s="18">
        <f>50598.72</f>
        <v>50598.720000000001</v>
      </c>
      <c r="D46" s="19">
        <f>56056.65</f>
        <v>56056.65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1870.92</f>
        <v>1870.92</v>
      </c>
      <c r="D48" s="19">
        <f>1870.92</f>
        <v>1870.92</v>
      </c>
    </row>
    <row r="49" spans="1:4">
      <c r="A49" s="8" t="s">
        <v>440</v>
      </c>
      <c r="B49" s="28" t="s">
        <v>168</v>
      </c>
      <c r="C49" s="29">
        <f>590226.72</f>
        <v>590226.72</v>
      </c>
      <c r="D49" s="30">
        <f>756307.25</f>
        <v>756307.25</v>
      </c>
    </row>
    <row r="50" spans="1:4">
      <c r="A50" s="8" t="s">
        <v>169</v>
      </c>
      <c r="B50" s="9" t="s">
        <v>170</v>
      </c>
      <c r="C50" s="14">
        <f>C8+C25+C40+C41+C42+C43+C44+C45+C49+C51+C52</f>
        <v>8054251.7999999989</v>
      </c>
      <c r="D50" s="15">
        <f>D8+D25+D40+D41+D42+D43+D44+D45+D49+D51+D52</f>
        <v>8054251.8000000007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4702600.4399999995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4634351.64</f>
        <v>4634351.6399999997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68248.8</f>
        <v>68248.800000000003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2560914</f>
        <v>2560914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7263514.4399999995</v>
      </c>
      <c r="D59" s="27">
        <f>D54+D57+D58</f>
        <v>0</v>
      </c>
    </row>
    <row r="60" spans="1:4" ht="25.5">
      <c r="A60" s="33" t="s">
        <v>188</v>
      </c>
      <c r="B60" s="9"/>
      <c r="C60" s="34">
        <v>29897</v>
      </c>
      <c r="D60" s="35">
        <v>29897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C5" sqref="C5:D5"/>
    </sheetView>
  </sheetViews>
  <sheetFormatPr defaultColWidth="11.7109375" defaultRowHeight="15"/>
  <cols>
    <col min="1" max="1" width="58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customHeight="1" thickBot="1">
      <c r="A4" s="1"/>
      <c r="B4" s="2"/>
      <c r="C4" s="2"/>
      <c r="D4" s="2"/>
    </row>
    <row r="5" spans="1:4" ht="23.25" customHeight="1">
      <c r="A5" s="115" t="s">
        <v>83</v>
      </c>
      <c r="B5" s="117" t="s">
        <v>84</v>
      </c>
      <c r="C5" s="119" t="s">
        <v>265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1714207.29</v>
      </c>
      <c r="D8" s="11">
        <f>D9+D11+D14+D15</f>
        <v>1620226.23</v>
      </c>
    </row>
    <row r="9" spans="1:4" ht="30">
      <c r="A9" s="12" t="s">
        <v>90</v>
      </c>
      <c r="B9" s="13" t="s">
        <v>91</v>
      </c>
      <c r="C9" s="14">
        <f>1522329.56</f>
        <v>1522329.56</v>
      </c>
      <c r="D9" s="15">
        <f>1480534.28</f>
        <v>1480534.28</v>
      </c>
    </row>
    <row r="10" spans="1:4">
      <c r="A10" s="16" t="s">
        <v>92</v>
      </c>
      <c r="B10" s="17" t="s">
        <v>93</v>
      </c>
      <c r="C10" s="18">
        <f>887576.190476191</f>
        <v>887576.190476191</v>
      </c>
      <c r="D10" s="19">
        <f>_42h_E12</f>
        <v>887576.190476191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191877.72999999998</v>
      </c>
      <c r="D15" s="15">
        <f>SUM(D16:D24)</f>
        <v>139691.95000000001</v>
      </c>
    </row>
    <row r="16" spans="1:4">
      <c r="A16" s="22" t="s">
        <v>103</v>
      </c>
      <c r="B16" s="17" t="s">
        <v>104</v>
      </c>
      <c r="C16" s="111">
        <v>126418.2</v>
      </c>
      <c r="D16" s="113">
        <v>65708.460000000006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33613.68</f>
        <v>33613.68</v>
      </c>
      <c r="D18" s="19">
        <f>42137.3</f>
        <v>42137.3</v>
      </c>
    </row>
    <row r="19" spans="1:4">
      <c r="A19" s="22" t="s">
        <v>109</v>
      </c>
      <c r="B19" s="17" t="s">
        <v>110</v>
      </c>
      <c r="C19" s="18">
        <f>3755.78</f>
        <v>3755.78</v>
      </c>
      <c r="D19" s="19">
        <f>3758.3</f>
        <v>3758.3</v>
      </c>
    </row>
    <row r="20" spans="1:4">
      <c r="A20" s="22" t="s">
        <v>111</v>
      </c>
      <c r="B20" s="17" t="s">
        <v>112</v>
      </c>
      <c r="C20" s="18">
        <f>4951.46</f>
        <v>4951.46</v>
      </c>
      <c r="D20" s="19">
        <f>4949.28</f>
        <v>4949.28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23138.61</f>
        <v>23138.61</v>
      </c>
      <c r="D22" s="19">
        <f>23138.61</f>
        <v>23138.61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405861.31000000873</v>
      </c>
      <c r="D25" s="15">
        <f>D26+D27+D30+D28+D29+D31</f>
        <v>313595.93000000005</v>
      </c>
    </row>
    <row r="26" spans="1:4" ht="18" customHeight="1">
      <c r="A26" s="24" t="s">
        <v>123</v>
      </c>
      <c r="B26" s="20" t="s">
        <v>124</v>
      </c>
      <c r="C26" s="18">
        <f>203033.04</f>
        <v>203033.04</v>
      </c>
      <c r="D26" s="19">
        <f>172829.76</f>
        <v>172829.76</v>
      </c>
    </row>
    <row r="27" spans="1:4" ht="45">
      <c r="A27" s="24" t="s">
        <v>125</v>
      </c>
      <c r="B27" s="20" t="s">
        <v>126</v>
      </c>
      <c r="C27" s="18">
        <f>25764.48</f>
        <v>25764.48</v>
      </c>
      <c r="D27" s="19">
        <f>25726.35</f>
        <v>25726.35</v>
      </c>
    </row>
    <row r="28" spans="1:4" ht="35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25250.64</f>
        <v>25250.639999999999</v>
      </c>
      <c r="D29" s="19">
        <f>25029.82</f>
        <v>25029.82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151813.1500000087</v>
      </c>
      <c r="D31" s="15">
        <f>SUM(D32:D39)</f>
        <v>90010</v>
      </c>
    </row>
    <row r="32" spans="1:4" ht="18.75" customHeight="1">
      <c r="A32" s="24" t="s">
        <v>135</v>
      </c>
      <c r="B32" s="17" t="s">
        <v>136</v>
      </c>
      <c r="C32" s="18">
        <f>38289.26</f>
        <v>38289.26</v>
      </c>
      <c r="D32" s="19">
        <f>38289.26</f>
        <v>38289.26</v>
      </c>
    </row>
    <row r="33" spans="1:4">
      <c r="A33" s="24" t="s">
        <v>137</v>
      </c>
      <c r="B33" s="17" t="s">
        <v>138</v>
      </c>
      <c r="C33" s="18">
        <f>34965.12</f>
        <v>34965.120000000003</v>
      </c>
      <c r="D33" s="19">
        <f>33689.2</f>
        <v>33689.199999999997</v>
      </c>
    </row>
    <row r="34" spans="1:4">
      <c r="A34" s="24" t="s">
        <v>139</v>
      </c>
      <c r="B34" s="17" t="s">
        <v>140</v>
      </c>
      <c r="C34" s="18">
        <f>17843.16</f>
        <v>17843.16</v>
      </c>
      <c r="D34" s="19">
        <f>18031.54</f>
        <v>18031.54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60715.6100000087</f>
        <v>60715.610000008703</v>
      </c>
      <c r="D39" s="19">
        <f>0</f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38475.199999999997</v>
      </c>
      <c r="D45" s="27">
        <f>SUM(D46:D48)</f>
        <v>176693.03</v>
      </c>
    </row>
    <row r="46" spans="1:4">
      <c r="A46" s="21" t="s">
        <v>163</v>
      </c>
      <c r="B46" s="17" t="s">
        <v>164</v>
      </c>
      <c r="C46" s="18">
        <f>14632.68</f>
        <v>14632.68</v>
      </c>
      <c r="D46" s="19">
        <f>16211.02</f>
        <v>16211.02</v>
      </c>
    </row>
    <row r="47" spans="1:4">
      <c r="A47" s="21" t="s">
        <v>149</v>
      </c>
      <c r="B47" s="17" t="s">
        <v>165</v>
      </c>
      <c r="C47" s="18">
        <f>23292.32</f>
        <v>23292.32</v>
      </c>
      <c r="D47" s="19">
        <f>159931.81</f>
        <v>159931.81</v>
      </c>
    </row>
    <row r="48" spans="1:4">
      <c r="A48" s="21" t="s">
        <v>166</v>
      </c>
      <c r="B48" s="17" t="s">
        <v>167</v>
      </c>
      <c r="C48" s="18">
        <f>550.2</f>
        <v>550.20000000000005</v>
      </c>
      <c r="D48" s="19">
        <f>550.2</f>
        <v>550.20000000000005</v>
      </c>
    </row>
    <row r="49" spans="1:4">
      <c r="A49" s="8" t="s">
        <v>440</v>
      </c>
      <c r="B49" s="28" t="s">
        <v>168</v>
      </c>
      <c r="C49" s="29">
        <f>170688.6</f>
        <v>170688.6</v>
      </c>
      <c r="D49" s="30">
        <f>218717.21</f>
        <v>218717.21</v>
      </c>
    </row>
    <row r="50" spans="1:4">
      <c r="A50" s="8" t="s">
        <v>169</v>
      </c>
      <c r="B50" s="9" t="s">
        <v>170</v>
      </c>
      <c r="C50" s="14">
        <f>C8+C25+C40+C41+C42+C43+C44+C45+C49+C51+C52</f>
        <v>2329232.4000000092</v>
      </c>
      <c r="D50" s="15">
        <f>D8+D25+D40+D41+D42+D43+D44+D45+D49+D51+D52</f>
        <v>2329232.4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1341878.3400000001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1320048.3</f>
        <v>1320048.3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21830.04</f>
        <v>21830.04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729198</f>
        <v>729198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2071076.34</v>
      </c>
      <c r="D59" s="27">
        <f>D54+D57+D58</f>
        <v>0</v>
      </c>
    </row>
    <row r="60" spans="1:4" ht="25.5">
      <c r="A60" s="33" t="s">
        <v>188</v>
      </c>
      <c r="B60" s="9"/>
      <c r="C60" s="34">
        <v>8646</v>
      </c>
      <c r="D60" s="35">
        <v>8646</v>
      </c>
    </row>
    <row r="61" spans="1:4" ht="15.75" thickBot="1">
      <c r="A61" s="36" t="s">
        <v>189</v>
      </c>
      <c r="B61" s="37"/>
      <c r="C61" s="38">
        <f>(C50+C51+C52)/C60/12</f>
        <v>22.450000000000088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G16" sqref="G16"/>
    </sheetView>
  </sheetViews>
  <sheetFormatPr defaultColWidth="11.7109375" defaultRowHeight="15"/>
  <cols>
    <col min="1" max="1" width="60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267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1487916.28</v>
      </c>
      <c r="D8" s="11">
        <f>D9+D11+D14+D15</f>
        <v>1559117.8900000001</v>
      </c>
    </row>
    <row r="9" spans="1:4" ht="30">
      <c r="A9" s="12" t="s">
        <v>90</v>
      </c>
      <c r="B9" s="13" t="s">
        <v>91</v>
      </c>
      <c r="C9" s="14">
        <f>1296775.6</f>
        <v>1296775.6000000001</v>
      </c>
      <c r="D9" s="15">
        <f>1236492.86</f>
        <v>1236492.8600000001</v>
      </c>
    </row>
    <row r="10" spans="1:4">
      <c r="A10" s="16" t="s">
        <v>92</v>
      </c>
      <c r="B10" s="17" t="s">
        <v>93</v>
      </c>
      <c r="C10" s="18">
        <f>763440.491551459</f>
        <v>763440.49155145895</v>
      </c>
      <c r="D10" s="19">
        <f>_43h_E12</f>
        <v>763440.49155145895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191140.68</v>
      </c>
      <c r="D15" s="15">
        <f>SUM(D16:D24)</f>
        <v>322625.03000000009</v>
      </c>
    </row>
    <row r="16" spans="1:4">
      <c r="A16" s="22" t="s">
        <v>103</v>
      </c>
      <c r="B16" s="17" t="s">
        <v>104</v>
      </c>
      <c r="C16" s="111">
        <v>149225.04</v>
      </c>
      <c r="D16" s="113">
        <v>285266.96000000002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28878.24</f>
        <v>28878.240000000002</v>
      </c>
      <c r="D18" s="19">
        <f>24317.97</f>
        <v>24317.97</v>
      </c>
    </row>
    <row r="19" spans="1:4">
      <c r="A19" s="22" t="s">
        <v>109</v>
      </c>
      <c r="B19" s="17" t="s">
        <v>110</v>
      </c>
      <c r="C19" s="18">
        <f>7590.8</f>
        <v>7590.8</v>
      </c>
      <c r="D19" s="19">
        <f>7595.9</f>
        <v>7595.9</v>
      </c>
    </row>
    <row r="20" spans="1:4">
      <c r="A20" s="22" t="s">
        <v>111</v>
      </c>
      <c r="B20" s="17" t="s">
        <v>112</v>
      </c>
      <c r="C20" s="18">
        <f>5446.6</f>
        <v>5446.6</v>
      </c>
      <c r="D20" s="19">
        <f>5444.2</f>
        <v>5444.2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542482.1599999906</v>
      </c>
      <c r="D25" s="15">
        <f>D26+D27+D30+D28+D29+D31</f>
        <v>495461.48</v>
      </c>
    </row>
    <row r="26" spans="1:4" ht="21" customHeight="1">
      <c r="A26" s="24" t="s">
        <v>123</v>
      </c>
      <c r="B26" s="20" t="s">
        <v>124</v>
      </c>
      <c r="C26" s="18">
        <f>226741.32</f>
        <v>226741.32</v>
      </c>
      <c r="D26" s="19">
        <f>226741.32</f>
        <v>226741.32</v>
      </c>
    </row>
    <row r="27" spans="1:4" ht="36.75" customHeight="1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3.7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23918.88</f>
        <v>23918.880000000001</v>
      </c>
      <c r="D29" s="19">
        <f>23709.67</f>
        <v>23709.67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137142.91999999061</v>
      </c>
      <c r="D31" s="15">
        <f>SUM(D32:D39)</f>
        <v>90247.32</v>
      </c>
    </row>
    <row r="32" spans="1:4" ht="18.75" customHeight="1">
      <c r="A32" s="24" t="s">
        <v>135</v>
      </c>
      <c r="B32" s="17" t="s">
        <v>136</v>
      </c>
      <c r="C32" s="18">
        <f>15315.71</f>
        <v>15315.71</v>
      </c>
      <c r="D32" s="19">
        <f>15315.68</f>
        <v>15315.68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26833.21</f>
        <v>26833.21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47973.6899999906</f>
        <v>47973.689999990602</v>
      </c>
      <c r="D39" s="19">
        <f>0</f>
        <v>0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14301.119999999999</v>
      </c>
      <c r="D45" s="27">
        <f>SUM(D46:D48)</f>
        <v>11164.31</v>
      </c>
    </row>
    <row r="46" spans="1:4">
      <c r="A46" s="21" t="s">
        <v>163</v>
      </c>
      <c r="B46" s="17" t="s">
        <v>164</v>
      </c>
      <c r="C46" s="18">
        <f>13860.96</f>
        <v>13860.96</v>
      </c>
      <c r="D46" s="19">
        <f>10724.15</f>
        <v>10724.15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161686.44</f>
        <v>161686.44</v>
      </c>
      <c r="D49" s="30">
        <f>140642.32</f>
        <v>140642.32</v>
      </c>
    </row>
    <row r="50" spans="1:4">
      <c r="A50" s="8" t="s">
        <v>169</v>
      </c>
      <c r="B50" s="9" t="s">
        <v>170</v>
      </c>
      <c r="C50" s="14">
        <f>C8+C25+C40+C41+C42+C43+C44+C45+C49+C51+C52</f>
        <v>2206385.9999999907</v>
      </c>
      <c r="D50" s="15">
        <f>D8+D25+D40+D41+D42+D43+D44+D45+D49+D51+D52</f>
        <v>2206386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1165519.8599999999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1113535.98</f>
        <v>1113535.98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51983.88</f>
        <v>51983.88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580926</f>
        <v>580926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1746445.8599999999</v>
      </c>
      <c r="D59" s="27">
        <f>D54+D57+D58</f>
        <v>0</v>
      </c>
    </row>
    <row r="60" spans="1:4" ht="25.5">
      <c r="A60" s="33" t="s">
        <v>188</v>
      </c>
      <c r="B60" s="9"/>
      <c r="C60" s="34">
        <v>8190</v>
      </c>
      <c r="D60" s="35">
        <v>8190</v>
      </c>
    </row>
    <row r="61" spans="1:4" ht="15.75" thickBot="1">
      <c r="A61" s="36" t="s">
        <v>189</v>
      </c>
      <c r="B61" s="37"/>
      <c r="C61" s="38">
        <f>(C50+C51+C52)/C60/12</f>
        <v>22.449999999999903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I18" sqref="I18"/>
    </sheetView>
  </sheetViews>
  <sheetFormatPr defaultColWidth="11.7109375" defaultRowHeight="15"/>
  <cols>
    <col min="1" max="1" width="58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269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4129393.46</v>
      </c>
      <c r="D8" s="11">
        <f>D9+D11+D14+D15</f>
        <v>4018197.33</v>
      </c>
    </row>
    <row r="9" spans="1:4" ht="30">
      <c r="A9" s="12" t="s">
        <v>90</v>
      </c>
      <c r="B9" s="13" t="s">
        <v>91</v>
      </c>
      <c r="C9" s="14">
        <f>3815549.34</f>
        <v>3815549.34</v>
      </c>
      <c r="D9" s="15">
        <f>3710485.97</f>
        <v>3710485.97</v>
      </c>
    </row>
    <row r="10" spans="1:4">
      <c r="A10" s="16" t="s">
        <v>92</v>
      </c>
      <c r="B10" s="17" t="s">
        <v>93</v>
      </c>
      <c r="C10" s="18">
        <f>2370343.64055299</f>
        <v>2370343.6405529901</v>
      </c>
      <c r="D10" s="19">
        <f>_44h_E12</f>
        <v>2370343.6405529901</v>
      </c>
    </row>
    <row r="11" spans="1:4" ht="23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5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313844.12</v>
      </c>
      <c r="D15" s="15">
        <f>SUM(D16:D24)</f>
        <v>307711.35999999999</v>
      </c>
    </row>
    <row r="16" spans="1:4">
      <c r="A16" s="22" t="s">
        <v>103</v>
      </c>
      <c r="B16" s="17" t="s">
        <v>104</v>
      </c>
      <c r="C16" s="111">
        <v>206482.8</v>
      </c>
      <c r="D16" s="113">
        <v>178124.56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87644.16</f>
        <v>87644.160000000003</v>
      </c>
      <c r="D18" s="19">
        <f>109868.84</f>
        <v>109868.84</v>
      </c>
    </row>
    <row r="19" spans="1:4">
      <c r="A19" s="22" t="s">
        <v>109</v>
      </c>
      <c r="B19" s="17" t="s">
        <v>110</v>
      </c>
      <c r="C19" s="18">
        <f>8499.26</f>
        <v>8499.26</v>
      </c>
      <c r="D19" s="19">
        <f>8504.98</f>
        <v>8504.98</v>
      </c>
    </row>
    <row r="20" spans="1:4">
      <c r="A20" s="22" t="s">
        <v>111</v>
      </c>
      <c r="B20" s="17" t="s">
        <v>112</v>
      </c>
      <c r="C20" s="18">
        <f>11217.9</f>
        <v>11217.9</v>
      </c>
      <c r="D20" s="19">
        <f>11212.98</f>
        <v>11212.98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761253.46000001207</v>
      </c>
      <c r="D25" s="15">
        <f>D26+D27+D30+D28+D29+D31</f>
        <v>767104.04</v>
      </c>
    </row>
    <row r="26" spans="1:4" ht="22.5" customHeight="1">
      <c r="A26" s="24" t="s">
        <v>123</v>
      </c>
      <c r="B26" s="20" t="s">
        <v>124</v>
      </c>
      <c r="C26" s="18">
        <f>369151.2</f>
        <v>369151.2</v>
      </c>
      <c r="D26" s="19">
        <f>369151.19</f>
        <v>369151.19</v>
      </c>
    </row>
    <row r="27" spans="1:4" ht="45">
      <c r="A27" s="24" t="s">
        <v>125</v>
      </c>
      <c r="B27" s="20" t="s">
        <v>126</v>
      </c>
      <c r="C27" s="18">
        <f>54134.28</f>
        <v>54134.28</v>
      </c>
      <c r="D27" s="19">
        <f>54065.78</f>
        <v>54065.78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57618.6</f>
        <v>57618.6</v>
      </c>
      <c r="D29" s="19">
        <f>57114.94</f>
        <v>57114.94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280349.38000001211</v>
      </c>
      <c r="D31" s="15">
        <f>SUM(D32:D39)</f>
        <v>286772.13</v>
      </c>
    </row>
    <row r="32" spans="1:4" ht="20.25" customHeight="1">
      <c r="A32" s="24" t="s">
        <v>135</v>
      </c>
      <c r="B32" s="17" t="s">
        <v>136</v>
      </c>
      <c r="C32" s="18">
        <f>84236.38</f>
        <v>84236.38</v>
      </c>
      <c r="D32" s="19">
        <f>84236.41</f>
        <v>84236.41</v>
      </c>
    </row>
    <row r="33" spans="1:4">
      <c r="A33" s="24" t="s">
        <v>137</v>
      </c>
      <c r="B33" s="17" t="s">
        <v>138</v>
      </c>
      <c r="C33" s="18">
        <f>73466.16</f>
        <v>73466.16</v>
      </c>
      <c r="D33" s="19">
        <f>78408.89</f>
        <v>78408.89</v>
      </c>
    </row>
    <row r="34" spans="1:4">
      <c r="A34" s="24" t="s">
        <v>139</v>
      </c>
      <c r="B34" s="17" t="s">
        <v>140</v>
      </c>
      <c r="C34" s="18">
        <f>122646.84</f>
        <v>122646.84</v>
      </c>
      <c r="D34" s="19">
        <f>124126.83</f>
        <v>124126.83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1.21071934700012E-08</f>
        <v>1.2107193470001199E-8</v>
      </c>
      <c r="D39" s="19">
        <f>0</f>
        <v>0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255.36</f>
        <v>255.36</v>
      </c>
      <c r="D42" s="27">
        <f>2133.84</f>
        <v>2133.84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34600.68</v>
      </c>
      <c r="D45" s="27">
        <f>SUM(D46:D48)</f>
        <v>38202.400000000001</v>
      </c>
    </row>
    <row r="46" spans="1:4">
      <c r="A46" s="21" t="s">
        <v>163</v>
      </c>
      <c r="B46" s="17" t="s">
        <v>164</v>
      </c>
      <c r="C46" s="18">
        <f>33390</f>
        <v>33390</v>
      </c>
      <c r="D46" s="19">
        <f>36991.72</f>
        <v>36991.72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1210.68</f>
        <v>1210.68</v>
      </c>
      <c r="D48" s="19">
        <f>1210.68</f>
        <v>1210.68</v>
      </c>
    </row>
    <row r="49" spans="1:4">
      <c r="A49" s="8" t="s">
        <v>440</v>
      </c>
      <c r="B49" s="28" t="s">
        <v>168</v>
      </c>
      <c r="C49" s="29">
        <f>389489.64</f>
        <v>389489.64</v>
      </c>
      <c r="D49" s="30">
        <f>489354.99</f>
        <v>489354.99</v>
      </c>
    </row>
    <row r="50" spans="1:4">
      <c r="A50" s="8" t="s">
        <v>169</v>
      </c>
      <c r="B50" s="9" t="s">
        <v>170</v>
      </c>
      <c r="C50" s="14">
        <f>C8+C25+C40+C41+C42+C43+C44+C45+C49+C51+C52</f>
        <v>5314992.6000000117</v>
      </c>
      <c r="D50" s="15">
        <f>D8+D25+D40+D41+D42+D43+D44+D45+D49+D51+D52</f>
        <v>5314992.6000000006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3102367.44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3016997.88</f>
        <v>3016997.88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85369.56</f>
        <v>85369.56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1640418</f>
        <v>1640418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4742785.4399999995</v>
      </c>
      <c r="D59" s="27">
        <f>D54+D57+D58</f>
        <v>0</v>
      </c>
    </row>
    <row r="60" spans="1:4" ht="25.5">
      <c r="A60" s="33" t="s">
        <v>188</v>
      </c>
      <c r="B60" s="9"/>
      <c r="C60" s="34">
        <v>19729</v>
      </c>
      <c r="D60" s="35">
        <v>19729</v>
      </c>
    </row>
    <row r="61" spans="1:4" ht="15.75" thickBot="1">
      <c r="A61" s="36" t="s">
        <v>189</v>
      </c>
      <c r="B61" s="37"/>
      <c r="C61" s="38">
        <f>(C50+C51+C52)/C60/12</f>
        <v>22.450000000000049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D9" sqref="D9"/>
    </sheetView>
  </sheetViews>
  <sheetFormatPr defaultColWidth="11.7109375" defaultRowHeight="15"/>
  <cols>
    <col min="1" max="1" width="58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271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6480335.5</v>
      </c>
      <c r="D8" s="11">
        <f>D9+D11+D14+D15</f>
        <v>6459595.1800000006</v>
      </c>
    </row>
    <row r="9" spans="1:4" ht="30">
      <c r="A9" s="12" t="s">
        <v>90</v>
      </c>
      <c r="B9" s="13" t="s">
        <v>91</v>
      </c>
      <c r="C9" s="14">
        <f>6256688.59</f>
        <v>6256688.5899999999</v>
      </c>
      <c r="D9" s="15">
        <f>5881493.49</f>
        <v>5881493.4900000002</v>
      </c>
    </row>
    <row r="10" spans="1:4">
      <c r="A10" s="16" t="s">
        <v>92</v>
      </c>
      <c r="B10" s="17" t="s">
        <v>93</v>
      </c>
      <c r="C10" s="18">
        <f>3510307.15053764</f>
        <v>3510307.1505376399</v>
      </c>
      <c r="D10" s="19">
        <f>_45h_E12</f>
        <v>3510307.1505376399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223646.90999999997</v>
      </c>
      <c r="D15" s="15">
        <f>SUM(D16:D24)</f>
        <v>578101.69000000006</v>
      </c>
    </row>
    <row r="16" spans="1:4">
      <c r="A16" s="22" t="s">
        <v>103</v>
      </c>
      <c r="B16" s="17" t="s">
        <v>104</v>
      </c>
      <c r="C16" s="111">
        <v>117071.03999999999</v>
      </c>
      <c r="D16" s="113">
        <v>484351.01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81252.87</f>
        <v>81252.87</v>
      </c>
      <c r="D18" s="19">
        <f>68422.17</f>
        <v>68422.17</v>
      </c>
    </row>
    <row r="19" spans="1:4">
      <c r="A19" s="22" t="s">
        <v>109</v>
      </c>
      <c r="B19" s="17" t="s">
        <v>110</v>
      </c>
      <c r="C19" s="18">
        <f>15023.74</f>
        <v>15023.74</v>
      </c>
      <c r="D19" s="19">
        <f>15033.84</f>
        <v>15033.84</v>
      </c>
    </row>
    <row r="20" spans="1:4">
      <c r="A20" s="22" t="s">
        <v>111</v>
      </c>
      <c r="B20" s="17" t="s">
        <v>112</v>
      </c>
      <c r="C20" s="18">
        <f>10299.26</f>
        <v>10299.26</v>
      </c>
      <c r="D20" s="19">
        <f>10294.67</f>
        <v>10294.67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3721963.5799999856</v>
      </c>
      <c r="D25" s="15">
        <f>D26+D27+D30+D28+D29+D31</f>
        <v>3813072.8100000005</v>
      </c>
    </row>
    <row r="26" spans="1:4" ht="20.25" customHeight="1">
      <c r="A26" s="24" t="s">
        <v>123</v>
      </c>
      <c r="B26" s="20" t="s">
        <v>124</v>
      </c>
      <c r="C26" s="18">
        <f>2292451.92</f>
        <v>2292451.92</v>
      </c>
      <c r="D26" s="19">
        <f>2282104.1</f>
        <v>2282104.1</v>
      </c>
    </row>
    <row r="27" spans="1:4" ht="45">
      <c r="A27" s="24" t="s">
        <v>125</v>
      </c>
      <c r="B27" s="20" t="s">
        <v>126</v>
      </c>
      <c r="C27" s="18">
        <f>100307.76</f>
        <v>100307.76</v>
      </c>
      <c r="D27" s="19">
        <f>100231.64</f>
        <v>100231.64</v>
      </c>
    </row>
    <row r="28" spans="1:4" ht="34.5" customHeight="1">
      <c r="A28" s="21" t="s">
        <v>127</v>
      </c>
      <c r="B28" s="20" t="s">
        <v>128</v>
      </c>
      <c r="C28" s="18">
        <f>1017312</f>
        <v>1017312</v>
      </c>
      <c r="D28" s="19">
        <f>1017312.12</f>
        <v>1017312.12</v>
      </c>
    </row>
    <row r="29" spans="1:4">
      <c r="A29" s="21" t="s">
        <v>129</v>
      </c>
      <c r="B29" s="20" t="s">
        <v>130</v>
      </c>
      <c r="C29" s="18">
        <f>116113.32</f>
        <v>116113.32</v>
      </c>
      <c r="D29" s="19">
        <f>115098.21</f>
        <v>115098.21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195778.57999998599</v>
      </c>
      <c r="D31" s="15">
        <f>SUM(D32:D39)</f>
        <v>298326.74</v>
      </c>
    </row>
    <row r="32" spans="1:4" ht="21" customHeight="1">
      <c r="A32" s="24" t="s">
        <v>135</v>
      </c>
      <c r="B32" s="17" t="s">
        <v>136</v>
      </c>
      <c r="C32" s="18">
        <f>21262.82</f>
        <v>21262.82</v>
      </c>
      <c r="D32" s="19">
        <f>21262.79</f>
        <v>21262.79</v>
      </c>
    </row>
    <row r="33" spans="1:4">
      <c r="A33" s="24" t="s">
        <v>137</v>
      </c>
      <c r="B33" s="17" t="s">
        <v>138</v>
      </c>
      <c r="C33" s="18">
        <f>55914.24</f>
        <v>55914.239999999998</v>
      </c>
      <c r="D33" s="19">
        <f>156348.33</f>
        <v>156348.32999999999</v>
      </c>
    </row>
    <row r="34" spans="1:4">
      <c r="A34" s="24" t="s">
        <v>139</v>
      </c>
      <c r="B34" s="17" t="s">
        <v>140</v>
      </c>
      <c r="C34" s="18">
        <f>118288.56</f>
        <v>118288.56</v>
      </c>
      <c r="D34" s="19">
        <f>120715.62</f>
        <v>120715.62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312.959999985993</f>
        <v>312.95999998599302</v>
      </c>
      <c r="D39" s="19">
        <f>0</f>
        <v>0</v>
      </c>
    </row>
    <row r="40" spans="1:4" ht="18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49742.76</v>
      </c>
      <c r="D45" s="27">
        <f>SUM(D46:D48)</f>
        <v>39083.71</v>
      </c>
    </row>
    <row r="46" spans="1:4">
      <c r="A46" s="21" t="s">
        <v>163</v>
      </c>
      <c r="B46" s="17" t="s">
        <v>164</v>
      </c>
      <c r="C46" s="18">
        <f>47101.44</f>
        <v>47101.440000000002</v>
      </c>
      <c r="D46" s="19">
        <f>36442.39</f>
        <v>36442.39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458763.36</f>
        <v>458763.36</v>
      </c>
      <c r="D49" s="30">
        <f>399053.5</f>
        <v>399053.5</v>
      </c>
    </row>
    <row r="50" spans="1:4">
      <c r="A50" s="8" t="s">
        <v>169</v>
      </c>
      <c r="B50" s="9" t="s">
        <v>170</v>
      </c>
      <c r="C50" s="14">
        <f>C8+C25+C40+C41+C42+C43+C44+C45+C49+C51+C52</f>
        <v>10710805.199999984</v>
      </c>
      <c r="D50" s="15">
        <f>D8+D25+D40+D41+D42+D43+D44+D45+D49+D51+D52</f>
        <v>10710805.200000003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6293858.5800000001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6015137.34</f>
        <v>6015137.3399999999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278721.24</f>
        <v>278721.24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3203526</f>
        <v>3203526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9497384.5800000001</v>
      </c>
      <c r="D59" s="27">
        <f>D54+D57+D58</f>
        <v>0</v>
      </c>
    </row>
    <row r="60" spans="1:4" ht="25.5">
      <c r="A60" s="33" t="s">
        <v>188</v>
      </c>
      <c r="B60" s="9"/>
      <c r="C60" s="34">
        <v>39758</v>
      </c>
      <c r="D60" s="35">
        <v>39758</v>
      </c>
    </row>
    <row r="61" spans="1:4" ht="15.75" thickBot="1">
      <c r="A61" s="36" t="s">
        <v>189</v>
      </c>
      <c r="B61" s="37"/>
      <c r="C61" s="38">
        <f>(C50+C51+C52)/C60/12</f>
        <v>22.449999999999964</v>
      </c>
      <c r="D61" s="39">
        <f>(D50+D51+D52)/D60/12</f>
        <v>22.450000000000006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52" sqref="G52"/>
    </sheetView>
  </sheetViews>
  <sheetFormatPr defaultColWidth="11.7109375" defaultRowHeight="15"/>
  <cols>
    <col min="1" max="1" width="60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273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2799229.03</v>
      </c>
      <c r="D8" s="11">
        <f>D9+D11+D14+D15</f>
        <v>2732518.01</v>
      </c>
    </row>
    <row r="9" spans="1:4" ht="30">
      <c r="A9" s="12" t="s">
        <v>90</v>
      </c>
      <c r="B9" s="13" t="s">
        <v>91</v>
      </c>
      <c r="C9" s="14">
        <f>2456415.53</f>
        <v>2456415.5299999998</v>
      </c>
      <c r="D9" s="15">
        <v>2417525.96</v>
      </c>
    </row>
    <row r="10" spans="1:4">
      <c r="A10" s="16" t="s">
        <v>92</v>
      </c>
      <c r="B10" s="17" t="s">
        <v>93</v>
      </c>
      <c r="C10" s="18">
        <f>1424535.15360983</f>
        <v>1424535.15360983</v>
      </c>
      <c r="D10" s="19">
        <f>_46h_E12</f>
        <v>1424535.15360983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342813.5</v>
      </c>
      <c r="D15" s="15">
        <f>SUM(D16:D24)</f>
        <v>314992.05</v>
      </c>
    </row>
    <row r="16" spans="1:4">
      <c r="A16" s="22" t="s">
        <v>103</v>
      </c>
      <c r="B16" s="17" t="s">
        <v>104</v>
      </c>
      <c r="C16" s="111">
        <v>273191.76</v>
      </c>
      <c r="D16" s="113">
        <v>231311.97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55427.76</f>
        <v>55427.76</v>
      </c>
      <c r="D18" s="19">
        <f>69483.01</f>
        <v>69483.009999999995</v>
      </c>
    </row>
    <row r="19" spans="1:4">
      <c r="A19" s="22" t="s">
        <v>109</v>
      </c>
      <c r="B19" s="17" t="s">
        <v>110</v>
      </c>
      <c r="C19" s="18">
        <f>8388.74</f>
        <v>8388.74</v>
      </c>
      <c r="D19" s="19">
        <f>8394.38</f>
        <v>8394.3799999999992</v>
      </c>
    </row>
    <row r="20" spans="1:4">
      <c r="A20" s="22" t="s">
        <v>111</v>
      </c>
      <c r="B20" s="17" t="s">
        <v>112</v>
      </c>
      <c r="C20" s="18">
        <f>5805.24</f>
        <v>5805.24</v>
      </c>
      <c r="D20" s="19">
        <f>5802.69</f>
        <v>5802.69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1223596.3</v>
      </c>
      <c r="D25" s="15">
        <f>D26+D27+D30+D28+D29+D31</f>
        <v>1035437.96</v>
      </c>
    </row>
    <row r="26" spans="1:4" ht="18.75" customHeight="1">
      <c r="A26" s="24" t="s">
        <v>123</v>
      </c>
      <c r="B26" s="20" t="s">
        <v>124</v>
      </c>
      <c r="C26" s="18">
        <f>453482.52</f>
        <v>453482.52</v>
      </c>
      <c r="D26" s="19">
        <f>452773.96</f>
        <v>452773.96</v>
      </c>
    </row>
    <row r="27" spans="1:4" ht="36.75" customHeight="1">
      <c r="A27" s="24" t="s">
        <v>125</v>
      </c>
      <c r="B27" s="20" t="s">
        <v>126</v>
      </c>
      <c r="C27" s="18">
        <f>36909.72</f>
        <v>36909.72</v>
      </c>
      <c r="D27" s="19">
        <f>36894.66</f>
        <v>36894.660000000003</v>
      </c>
    </row>
    <row r="28" spans="1:4" ht="33.75" customHeight="1">
      <c r="A28" s="21" t="s">
        <v>127</v>
      </c>
      <c r="B28" s="20" t="s">
        <v>128</v>
      </c>
      <c r="C28" s="18">
        <f>272304</f>
        <v>272304</v>
      </c>
      <c r="D28" s="19">
        <f>272304.12</f>
        <v>272304.12</v>
      </c>
    </row>
    <row r="29" spans="1:4">
      <c r="A29" s="21" t="s">
        <v>129</v>
      </c>
      <c r="B29" s="20" t="s">
        <v>130</v>
      </c>
      <c r="C29" s="18">
        <f>47531.16</f>
        <v>47531.16</v>
      </c>
      <c r="D29" s="19">
        <f>47115.66</f>
        <v>47115.66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413368.89999999997</v>
      </c>
      <c r="D31" s="15">
        <f>SUM(D32:D39)</f>
        <v>226349.56</v>
      </c>
    </row>
    <row r="32" spans="1:4" ht="21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50090.52</f>
        <v>50090.52</v>
      </c>
      <c r="D33" s="19">
        <f>55264.31</f>
        <v>55264.31</v>
      </c>
    </row>
    <row r="34" spans="1:4">
      <c r="A34" s="24" t="s">
        <v>139</v>
      </c>
      <c r="B34" s="17" t="s">
        <v>140</v>
      </c>
      <c r="C34" s="18">
        <f>87165.36</f>
        <v>87165.36</v>
      </c>
      <c r="D34" s="19">
        <f>85649.4</f>
        <v>85649.4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245481.61</v>
      </c>
      <c r="D39" s="19">
        <v>54804.44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v>11933.83</v>
      </c>
      <c r="D42" s="27">
        <v>11933.83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v>161489.28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28424.76</v>
      </c>
      <c r="D45" s="27">
        <f>SUM(D46:D48)</f>
        <v>31395.94</v>
      </c>
    </row>
    <row r="46" spans="1:4">
      <c r="A46" s="21" t="s">
        <v>163</v>
      </c>
      <c r="B46" s="17" t="s">
        <v>164</v>
      </c>
      <c r="C46" s="18">
        <f>27544.44</f>
        <v>27544.44</v>
      </c>
      <c r="D46" s="19">
        <f>30515.62</f>
        <v>30515.62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321301.08</f>
        <v>321301.08</v>
      </c>
      <c r="D49" s="30">
        <f>411709.98</f>
        <v>411709.98</v>
      </c>
    </row>
    <row r="50" spans="1:4">
      <c r="A50" s="8" t="s">
        <v>169</v>
      </c>
      <c r="B50" s="9" t="s">
        <v>170</v>
      </c>
      <c r="C50" s="14">
        <f>C8+C25+C40+C41+C42+C43+C44+C45+C49+C51+C52</f>
        <v>4384485</v>
      </c>
      <c r="D50" s="15">
        <f>D8+D25+D40+D41+D42+D43+D44+D45+D49+D51+D52</f>
        <v>4384485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2610485.4000000004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2442765.72</f>
        <v>2442765.7200000002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167719.68</f>
        <v>167719.67999999999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1314444</f>
        <v>1314444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3924929.4000000004</v>
      </c>
      <c r="D59" s="27">
        <f>D54+D57+D58</f>
        <v>0</v>
      </c>
    </row>
    <row r="60" spans="1:4" ht="25.5">
      <c r="A60" s="33" t="s">
        <v>188</v>
      </c>
      <c r="B60" s="9"/>
      <c r="C60" s="34">
        <v>16275</v>
      </c>
      <c r="D60" s="35">
        <v>16275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3" sqref="D43"/>
    </sheetView>
  </sheetViews>
  <sheetFormatPr defaultColWidth="11.7109375" defaultRowHeight="15"/>
  <cols>
    <col min="1" max="1" width="61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275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4981420.67</v>
      </c>
      <c r="D8" s="11">
        <f>D9+D11+D14+D15</f>
        <v>4721489.8100000005</v>
      </c>
    </row>
    <row r="9" spans="1:4" ht="30">
      <c r="A9" s="12" t="s">
        <v>90</v>
      </c>
      <c r="B9" s="13" t="s">
        <v>91</v>
      </c>
      <c r="C9" s="14">
        <f>4420928.95</f>
        <v>4420928.95</v>
      </c>
      <c r="D9" s="15">
        <f>4376523.66</f>
        <v>4376523.66</v>
      </c>
    </row>
    <row r="10" spans="1:4">
      <c r="A10" s="16" t="s">
        <v>92</v>
      </c>
      <c r="B10" s="17" t="s">
        <v>93</v>
      </c>
      <c r="C10" s="18">
        <f>2599931.57450077</f>
        <v>2599931.5745007698</v>
      </c>
      <c r="D10" s="19">
        <f>_47h_E12</f>
        <v>2599931.5745007698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560491.72000000009</v>
      </c>
      <c r="D15" s="15">
        <f>SUM(D16:D24)</f>
        <v>344966.14999999997</v>
      </c>
    </row>
    <row r="16" spans="1:4">
      <c r="A16" s="22" t="s">
        <v>103</v>
      </c>
      <c r="B16" s="17" t="s">
        <v>104</v>
      </c>
      <c r="C16" s="111">
        <v>368219.4</v>
      </c>
      <c r="D16" s="113">
        <v>126629.61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102782.04</f>
        <v>102782.04</v>
      </c>
      <c r="D18" s="19">
        <f>128845.24</f>
        <v>128845.24</v>
      </c>
    </row>
    <row r="19" spans="1:4">
      <c r="A19" s="22" t="s">
        <v>109</v>
      </c>
      <c r="B19" s="17" t="s">
        <v>110</v>
      </c>
      <c r="C19" s="18">
        <f>10673.9</f>
        <v>10673.9</v>
      </c>
      <c r="D19" s="19">
        <f>10681.08</f>
        <v>10681.08</v>
      </c>
    </row>
    <row r="20" spans="1:4">
      <c r="A20" s="22" t="s">
        <v>111</v>
      </c>
      <c r="B20" s="17" t="s">
        <v>112</v>
      </c>
      <c r="C20" s="18">
        <f>14028.28</f>
        <v>14028.28</v>
      </c>
      <c r="D20" s="19">
        <f>14022.12</f>
        <v>14022.12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64788.1</f>
        <v>64788.1</v>
      </c>
      <c r="D22" s="19">
        <f>64788.1</f>
        <v>64788.1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1072853.650000019</v>
      </c>
      <c r="D25" s="15">
        <f>D26+D27+D30+D28+D29+D31</f>
        <v>1055149.76</v>
      </c>
    </row>
    <row r="26" spans="1:4" ht="21.75" customHeight="1">
      <c r="A26" s="24" t="s">
        <v>123</v>
      </c>
      <c r="B26" s="20" t="s">
        <v>124</v>
      </c>
      <c r="C26" s="18">
        <f>478218.6</f>
        <v>478218.6</v>
      </c>
      <c r="D26" s="19">
        <f>478218.61</f>
        <v>478218.61</v>
      </c>
    </row>
    <row r="27" spans="1:4" ht="33" customHeight="1">
      <c r="A27" s="24" t="s">
        <v>125</v>
      </c>
      <c r="B27" s="20" t="s">
        <v>126</v>
      </c>
      <c r="C27" s="18">
        <f>71937.84</f>
        <v>71937.84</v>
      </c>
      <c r="D27" s="19">
        <f>71961.01</f>
        <v>71961.009999999995</v>
      </c>
    </row>
    <row r="28" spans="1:4" ht="30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71324.52</f>
        <v>71324.52</v>
      </c>
      <c r="D29" s="19">
        <f>70700.97</f>
        <v>70700.97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451372.69000001904</v>
      </c>
      <c r="D31" s="15">
        <f>SUM(D32:D39)</f>
        <v>434269.17000000004</v>
      </c>
    </row>
    <row r="32" spans="1:4" ht="20.25" customHeight="1">
      <c r="A32" s="24" t="s">
        <v>135</v>
      </c>
      <c r="B32" s="17" t="s">
        <v>136</v>
      </c>
      <c r="C32" s="18">
        <f>107209.94</f>
        <v>107209.94</v>
      </c>
      <c r="D32" s="19">
        <f>107209.99</f>
        <v>107209.99</v>
      </c>
    </row>
    <row r="33" spans="1:4">
      <c r="A33" s="24" t="s">
        <v>137</v>
      </c>
      <c r="B33" s="17" t="s">
        <v>138</v>
      </c>
      <c r="C33" s="18">
        <f>97627.44</f>
        <v>97627.44</v>
      </c>
      <c r="D33" s="19">
        <f>102327.87</f>
        <v>102327.87</v>
      </c>
    </row>
    <row r="34" spans="1:4">
      <c r="A34" s="24" t="s">
        <v>139</v>
      </c>
      <c r="B34" s="17" t="s">
        <v>140</v>
      </c>
      <c r="C34" s="18">
        <f>137516.16</f>
        <v>137516.16</v>
      </c>
      <c r="D34" s="19">
        <f>140406.16</f>
        <v>140406.16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498</v>
      </c>
      <c r="B39" s="17" t="s">
        <v>150</v>
      </c>
      <c r="C39" s="18">
        <f>109019.150000019</f>
        <v>109019.150000019</v>
      </c>
      <c r="D39" s="19">
        <v>84325.15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v>137509.92000000001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42873.36</v>
      </c>
      <c r="D45" s="27">
        <f>SUM(D46:D48)</f>
        <v>47331.810000000005</v>
      </c>
    </row>
    <row r="46" spans="1:4">
      <c r="A46" s="21" t="s">
        <v>163</v>
      </c>
      <c r="B46" s="17" t="s">
        <v>164</v>
      </c>
      <c r="C46" s="18">
        <f>41332.56</f>
        <v>41332.559999999998</v>
      </c>
      <c r="D46" s="19">
        <f>45791.01</f>
        <v>45791.01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1540.8</f>
        <v>1540.8</v>
      </c>
      <c r="D48" s="19">
        <f>1540.8</f>
        <v>1540.8</v>
      </c>
    </row>
    <row r="49" spans="1:4">
      <c r="A49" s="8" t="s">
        <v>440</v>
      </c>
      <c r="B49" s="28" t="s">
        <v>168</v>
      </c>
      <c r="C49" s="29">
        <f>482139.12</f>
        <v>482139.12</v>
      </c>
      <c r="D49" s="30">
        <f>617805.5</f>
        <v>617805.5</v>
      </c>
    </row>
    <row r="50" spans="1:4">
      <c r="A50" s="8" t="s">
        <v>169</v>
      </c>
      <c r="B50" s="9" t="s">
        <v>170</v>
      </c>
      <c r="C50" s="14">
        <f>C8+C25+C40+C41+C42+C43+C44+C45+C49+C51+C52</f>
        <v>6579286.8000000194</v>
      </c>
      <c r="D50" s="15">
        <f>D8+D25+D40+D41+D42+D43+D44+D45+D49+D51+D52</f>
        <v>6579286.7999999998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3736665.54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3670273.02</f>
        <v>3670273.02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66392.52</f>
        <v>66392.52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2013792</f>
        <v>2013792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5750457.54</v>
      </c>
      <c r="D59" s="27">
        <f>D54+D57+D58</f>
        <v>0</v>
      </c>
    </row>
    <row r="60" spans="1:4" ht="25.5">
      <c r="A60" s="33" t="s">
        <v>188</v>
      </c>
      <c r="B60" s="9"/>
      <c r="C60" s="34">
        <v>24422</v>
      </c>
      <c r="D60" s="35">
        <v>24422</v>
      </c>
    </row>
    <row r="61" spans="1:4" ht="15.75" thickBot="1">
      <c r="A61" s="36" t="s">
        <v>189</v>
      </c>
      <c r="B61" s="37"/>
      <c r="C61" s="38">
        <f>(C50+C51+C52)/C60/12</f>
        <v>22.450000000000063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C50" sqref="C50"/>
    </sheetView>
  </sheetViews>
  <sheetFormatPr defaultColWidth="11.7109375" defaultRowHeight="15"/>
  <cols>
    <col min="1" max="1" width="66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277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6138860.7199999997</v>
      </c>
      <c r="D8" s="11">
        <f>D9+D11+D14+D15</f>
        <v>6103575.5800000001</v>
      </c>
    </row>
    <row r="9" spans="1:4" ht="30">
      <c r="A9" s="12" t="s">
        <v>90</v>
      </c>
      <c r="B9" s="13" t="s">
        <v>91</v>
      </c>
      <c r="C9" s="14">
        <f>5206459.39</f>
        <v>5206459.3899999997</v>
      </c>
      <c r="D9" s="15">
        <f>5078528.43</f>
        <v>5078528.43</v>
      </c>
    </row>
    <row r="10" spans="1:4">
      <c r="A10" s="16" t="s">
        <v>92</v>
      </c>
      <c r="B10" s="17" t="s">
        <v>93</v>
      </c>
      <c r="C10" s="18">
        <f>3284377.56528418</f>
        <v>3284377.56528418</v>
      </c>
      <c r="D10" s="19">
        <f>_48h_E12</f>
        <v>3284377.56528418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932401.33000000007</v>
      </c>
      <c r="D15" s="15">
        <f>SUM(D16:D24)</f>
        <v>1025047.15</v>
      </c>
    </row>
    <row r="16" spans="1:4">
      <c r="A16" s="22" t="s">
        <v>103</v>
      </c>
      <c r="B16" s="17" t="s">
        <v>104</v>
      </c>
      <c r="C16" s="111">
        <v>798197.04</v>
      </c>
      <c r="D16" s="113">
        <v>963227.35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108881.29</f>
        <v>108881.29</v>
      </c>
      <c r="D18" s="19">
        <f>36491.29</f>
        <v>36491.29</v>
      </c>
    </row>
    <row r="19" spans="1:4">
      <c r="A19" s="22" t="s">
        <v>109</v>
      </c>
      <c r="B19" s="17" t="s">
        <v>110</v>
      </c>
      <c r="C19" s="18">
        <f>15023.74</f>
        <v>15023.74</v>
      </c>
      <c r="D19" s="19">
        <f>15033.84</f>
        <v>15033.84</v>
      </c>
    </row>
    <row r="20" spans="1:4">
      <c r="A20" s="22" t="s">
        <v>111</v>
      </c>
      <c r="B20" s="17" t="s">
        <v>112</v>
      </c>
      <c r="C20" s="18">
        <f>10299.26</f>
        <v>10299.26</v>
      </c>
      <c r="D20" s="19">
        <f>10294.67</f>
        <v>10294.67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3667023.76</v>
      </c>
      <c r="D25" s="15">
        <f>D26+D27+D30+D28+D29+D31</f>
        <v>3679700.2</v>
      </c>
    </row>
    <row r="26" spans="1:4">
      <c r="A26" s="24" t="s">
        <v>123</v>
      </c>
      <c r="B26" s="20" t="s">
        <v>124</v>
      </c>
      <c r="C26" s="18">
        <f>2292451.92</f>
        <v>2292451.92</v>
      </c>
      <c r="D26" s="19">
        <f>2278124.12</f>
        <v>2278124.12</v>
      </c>
    </row>
    <row r="27" spans="1:4" ht="33" customHeight="1">
      <c r="A27" s="24" t="s">
        <v>125</v>
      </c>
      <c r="B27" s="20" t="s">
        <v>126</v>
      </c>
      <c r="C27" s="18">
        <f>100452.48</f>
        <v>100452.48</v>
      </c>
      <c r="D27" s="19">
        <f>100429.87</f>
        <v>100429.87</v>
      </c>
    </row>
    <row r="28" spans="1:4" ht="33" customHeight="1">
      <c r="A28" s="21" t="s">
        <v>127</v>
      </c>
      <c r="B28" s="20" t="s">
        <v>128</v>
      </c>
      <c r="C28" s="18">
        <f>760320</f>
        <v>760320</v>
      </c>
      <c r="D28" s="19">
        <f>760320</f>
        <v>760320</v>
      </c>
    </row>
    <row r="29" spans="1:4">
      <c r="A29" s="21" t="s">
        <v>129</v>
      </c>
      <c r="B29" s="20" t="s">
        <v>130</v>
      </c>
      <c r="C29" s="18">
        <f>115523.4</f>
        <v>115523.4</v>
      </c>
      <c r="D29" s="19">
        <f>114513.45</f>
        <v>114513.45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398275.96</v>
      </c>
      <c r="D31" s="15">
        <f>SUM(D32:D39)</f>
        <v>426312.76</v>
      </c>
    </row>
    <row r="32" spans="1:4" ht="19.5" customHeight="1">
      <c r="A32" s="24" t="s">
        <v>135</v>
      </c>
      <c r="B32" s="17" t="s">
        <v>136</v>
      </c>
      <c r="C32" s="18">
        <f>61262.82</f>
        <v>61262.82</v>
      </c>
      <c r="D32" s="19">
        <f>61262.85</f>
        <v>61262.85</v>
      </c>
    </row>
    <row r="33" spans="1:4">
      <c r="A33" s="24" t="s">
        <v>137</v>
      </c>
      <c r="B33" s="17" t="s">
        <v>138</v>
      </c>
      <c r="C33" s="18">
        <f>136324.92</f>
        <v>136324.92000000001</v>
      </c>
      <c r="D33" s="19">
        <f>118820.81</f>
        <v>118820.81</v>
      </c>
    </row>
    <row r="34" spans="1:4">
      <c r="A34" s="24" t="s">
        <v>139</v>
      </c>
      <c r="B34" s="17" t="s">
        <v>140</v>
      </c>
      <c r="C34" s="18">
        <f>200377.8</f>
        <v>200377.8</v>
      </c>
      <c r="D34" s="19">
        <f>197673.12</f>
        <v>197673.12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18.75" customHeight="1">
      <c r="A39" s="24" t="s">
        <v>472</v>
      </c>
      <c r="B39" s="17" t="s">
        <v>150</v>
      </c>
      <c r="C39" s="18">
        <v>310.42</v>
      </c>
      <c r="D39" s="19">
        <f>48555.98</f>
        <v>48555.98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1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69587.16</v>
      </c>
      <c r="D45" s="27">
        <f>SUM(D46:D48)</f>
        <v>76808.44</v>
      </c>
    </row>
    <row r="46" spans="1:4">
      <c r="A46" s="21" t="s">
        <v>163</v>
      </c>
      <c r="B46" s="17" t="s">
        <v>164</v>
      </c>
      <c r="C46" s="18">
        <f>66945.84</f>
        <v>66945.84</v>
      </c>
      <c r="D46" s="19">
        <f>74167.12</f>
        <v>74167.12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780914.76</f>
        <v>780914.76</v>
      </c>
      <c r="D49" s="30">
        <f>796302.18</f>
        <v>796302.18</v>
      </c>
    </row>
    <row r="50" spans="1:4">
      <c r="A50" s="8" t="s">
        <v>169</v>
      </c>
      <c r="B50" s="9" t="s">
        <v>170</v>
      </c>
      <c r="C50" s="14">
        <f>C8+C25+C40+C41+C42+C43+C44+C45+C49+C51+C52</f>
        <v>10656386.4</v>
      </c>
      <c r="D50" s="15">
        <f>D8+D25+D40+D41+D42+D43+D44+D45+D49+D51+D52</f>
        <v>10656386.4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6074007.5399999991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5757150.06</f>
        <v>5757150.0599999996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316857.48</f>
        <v>316857.48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3028938</f>
        <v>3028938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9102945.5399999991</v>
      </c>
      <c r="D59" s="27">
        <f>D54+D57+D58</f>
        <v>0</v>
      </c>
    </row>
    <row r="60" spans="1:4" ht="25.5">
      <c r="A60" s="33" t="s">
        <v>188</v>
      </c>
      <c r="B60" s="9"/>
      <c r="C60" s="34">
        <v>39556</v>
      </c>
      <c r="D60" s="35">
        <v>39556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59055118110236227" bottom="0" header="0.31496062992125984" footer="0.31496062992125984"/>
  <pageSetup paperSize="9"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261"/>
  <sheetViews>
    <sheetView topLeftCell="A19" workbookViewId="0">
      <selection activeCell="D44" sqref="D44"/>
    </sheetView>
  </sheetViews>
  <sheetFormatPr defaultColWidth="11.7109375" defaultRowHeight="15"/>
  <cols>
    <col min="1" max="1" width="62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279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5113442.6900000004</v>
      </c>
      <c r="D8" s="11">
        <f>D9+D11+D14+D15</f>
        <v>4952021.53</v>
      </c>
    </row>
    <row r="9" spans="1:4" ht="30">
      <c r="A9" s="12" t="s">
        <v>90</v>
      </c>
      <c r="B9" s="13" t="s">
        <v>91</v>
      </c>
      <c r="C9" s="14">
        <f>4467397.12</f>
        <v>4467397.12</v>
      </c>
      <c r="D9" s="15">
        <v>4467397.12</v>
      </c>
    </row>
    <row r="10" spans="1:4">
      <c r="A10" s="16" t="s">
        <v>92</v>
      </c>
      <c r="B10" s="17" t="s">
        <v>93</v>
      </c>
      <c r="C10" s="18">
        <f>2947639.20122888</f>
        <v>2947639.2012288799</v>
      </c>
      <c r="D10" s="19">
        <f>_49h_E12</f>
        <v>2947639.2012288799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646045.56999999995</v>
      </c>
      <c r="D15" s="15">
        <f>SUM(D16:D24)</f>
        <v>484624.41000000003</v>
      </c>
    </row>
    <row r="16" spans="1:4">
      <c r="A16" s="22" t="s">
        <v>103</v>
      </c>
      <c r="B16" s="17" t="s">
        <v>104</v>
      </c>
      <c r="C16" s="111">
        <v>392195.76</v>
      </c>
      <c r="D16" s="113">
        <v>190891.64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157278.12</f>
        <v>157278.12</v>
      </c>
      <c r="D18" s="19">
        <f>197160.27</f>
        <v>197160.27</v>
      </c>
    </row>
    <row r="19" spans="1:4">
      <c r="A19" s="22" t="s">
        <v>109</v>
      </c>
      <c r="B19" s="17" t="s">
        <v>110</v>
      </c>
      <c r="C19" s="18">
        <f>11512.32</f>
        <v>11512.32</v>
      </c>
      <c r="D19" s="19">
        <f>11520.06</f>
        <v>11520.06</v>
      </c>
    </row>
    <row r="20" spans="1:4">
      <c r="A20" s="22" t="s">
        <v>111</v>
      </c>
      <c r="B20" s="17" t="s">
        <v>112</v>
      </c>
      <c r="C20" s="18">
        <f>15643.54</f>
        <v>15643.54</v>
      </c>
      <c r="D20" s="19">
        <f>15636.61</f>
        <v>15636.61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69415.83</f>
        <v>69415.83</v>
      </c>
      <c r="D22" s="19">
        <f>69415.83</f>
        <v>69415.83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1523440.15</v>
      </c>
      <c r="D25" s="15">
        <f>D26+D27+D30+D28+D29+D31</f>
        <v>1109610.25</v>
      </c>
    </row>
    <row r="26" spans="1:4" ht="21.75" customHeight="1">
      <c r="A26" s="24" t="s">
        <v>123</v>
      </c>
      <c r="B26" s="20" t="s">
        <v>124</v>
      </c>
      <c r="C26" s="18">
        <f>503388</f>
        <v>503388</v>
      </c>
      <c r="D26" s="19">
        <f>501430.38</f>
        <v>501430.38</v>
      </c>
    </row>
    <row r="27" spans="1:4" ht="33.75" customHeight="1">
      <c r="A27" s="24" t="s">
        <v>125</v>
      </c>
      <c r="B27" s="20" t="s">
        <v>126</v>
      </c>
      <c r="C27" s="18">
        <f>77293.44</f>
        <v>77293.440000000002</v>
      </c>
      <c r="D27" s="19">
        <f>77247.83</f>
        <v>77247.83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78187.68</f>
        <v>78187.679999999993</v>
      </c>
      <c r="D29" s="19">
        <f>77504.12</f>
        <v>77504.12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864571.03</v>
      </c>
      <c r="D31" s="15">
        <f>SUM(D32:D39)</f>
        <v>453427.92</v>
      </c>
    </row>
    <row r="32" spans="1:4" ht="21.75" customHeight="1">
      <c r="A32" s="24" t="s">
        <v>135</v>
      </c>
      <c r="B32" s="17" t="s">
        <v>136</v>
      </c>
      <c r="C32" s="18">
        <f>114867.79</f>
        <v>114867.79</v>
      </c>
      <c r="D32" s="19">
        <f>114867.84</f>
        <v>114867.84</v>
      </c>
    </row>
    <row r="33" spans="1:4">
      <c r="A33" s="24" t="s">
        <v>137</v>
      </c>
      <c r="B33" s="17" t="s">
        <v>138</v>
      </c>
      <c r="C33" s="18">
        <f>110042.03</f>
        <v>110042.03</v>
      </c>
      <c r="D33" s="19">
        <f>97630.08</f>
        <v>97630.080000000002</v>
      </c>
    </row>
    <row r="34" spans="1:4">
      <c r="A34" s="24" t="s">
        <v>139</v>
      </c>
      <c r="B34" s="17" t="s">
        <v>140</v>
      </c>
      <c r="C34" s="18">
        <f>174535.8</f>
        <v>174535.8</v>
      </c>
      <c r="D34" s="19">
        <f>176915</f>
        <v>176915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494</v>
      </c>
      <c r="B39" s="17" t="s">
        <v>150</v>
      </c>
      <c r="C39" s="18">
        <f>465125.41</f>
        <v>465125.41</v>
      </c>
      <c r="D39" s="19">
        <v>64015</v>
      </c>
    </row>
    <row r="40" spans="1:4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3.2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2.5" customHeight="1">
      <c r="A43" s="8" t="s">
        <v>157</v>
      </c>
      <c r="B43" s="9" t="s">
        <v>158</v>
      </c>
      <c r="C43" s="26">
        <f>0</f>
        <v>0</v>
      </c>
      <c r="D43" s="27">
        <v>421642.55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46960.679999999993</v>
      </c>
      <c r="D45" s="27">
        <f>SUM(D46:D48)</f>
        <v>51848.159999999996</v>
      </c>
    </row>
    <row r="46" spans="1:4">
      <c r="A46" s="21" t="s">
        <v>163</v>
      </c>
      <c r="B46" s="17" t="s">
        <v>164</v>
      </c>
      <c r="C46" s="18">
        <f>45309.84</f>
        <v>45309.84</v>
      </c>
      <c r="D46" s="19">
        <f>50197.32</f>
        <v>50197.32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1650.84</f>
        <v>1650.84</v>
      </c>
      <c r="D48" s="19">
        <f>1650.84</f>
        <v>1650.84</v>
      </c>
    </row>
    <row r="49" spans="1:4">
      <c r="A49" s="8" t="s">
        <v>440</v>
      </c>
      <c r="B49" s="28" t="s">
        <v>168</v>
      </c>
      <c r="C49" s="29">
        <f>528533.28</f>
        <v>528533.28</v>
      </c>
      <c r="D49" s="30">
        <f>677254.31</f>
        <v>677254.31</v>
      </c>
    </row>
    <row r="50" spans="1:4">
      <c r="A50" s="8" t="s">
        <v>169</v>
      </c>
      <c r="B50" s="9" t="s">
        <v>170</v>
      </c>
      <c r="C50" s="14">
        <f>C8+C25+C40+C41+C42+C43+C44+C45+C49+C51+C52</f>
        <v>7212376.7999999998</v>
      </c>
      <c r="D50" s="15">
        <f>D8+D25+D40+D41+D42+D43+D44+D45+D49+D51+D52</f>
        <v>7212376.8000000007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4467824.8199999994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4450538.1</f>
        <v>4450538.0999999996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17286.72</f>
        <v>17286.72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2506464</f>
        <v>2506464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6974288.8199999994</v>
      </c>
      <c r="D59" s="27">
        <f>D54+D57+D58</f>
        <v>0</v>
      </c>
    </row>
    <row r="60" spans="1:4" ht="25.5">
      <c r="A60" s="33" t="s">
        <v>188</v>
      </c>
      <c r="B60" s="9"/>
      <c r="C60" s="34">
        <v>26772</v>
      </c>
      <c r="D60" s="35">
        <v>26772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261"/>
  <sheetViews>
    <sheetView workbookViewId="0">
      <selection activeCell="E39" sqref="E39"/>
    </sheetView>
  </sheetViews>
  <sheetFormatPr defaultColWidth="11.7109375" defaultRowHeight="15"/>
  <cols>
    <col min="1" max="1" width="57.5703125" customWidth="1"/>
    <col min="2" max="2" width="9" customWidth="1"/>
    <col min="3" max="3" width="19.85546875" customWidth="1"/>
    <col min="4" max="4" width="17.5703125" customWidth="1"/>
    <col min="5" max="8" width="9.140625" customWidth="1"/>
    <col min="9" max="9" width="10.7109375" customWidth="1"/>
    <col min="10" max="247" width="9.140625" customWidth="1"/>
    <col min="248" max="248" width="38.85546875" customWidth="1"/>
    <col min="249" max="249" width="7.85546875" customWidth="1"/>
    <col min="250" max="250" width="14.85546875" customWidth="1"/>
    <col min="251" max="251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197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6135433.6699999999</v>
      </c>
      <c r="D8" s="11">
        <f>D9+D11+D14+D15</f>
        <v>5822529.3499999996</v>
      </c>
    </row>
    <row r="9" spans="1:4" ht="30">
      <c r="A9" s="12" t="s">
        <v>90</v>
      </c>
      <c r="B9" s="13" t="s">
        <v>91</v>
      </c>
      <c r="C9" s="14">
        <f>5398096.3</f>
        <v>5398096.2999999998</v>
      </c>
      <c r="D9" s="15">
        <v>5229435.47</v>
      </c>
    </row>
    <row r="10" spans="1:4">
      <c r="A10" s="16" t="s">
        <v>92</v>
      </c>
      <c r="B10" s="17" t="s">
        <v>93</v>
      </c>
      <c r="C10" s="18">
        <f>3516358.50998464</f>
        <v>3516358.5099846399</v>
      </c>
      <c r="D10" s="19">
        <f>_5h_E12</f>
        <v>3516358.5099846399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6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737337.37</v>
      </c>
      <c r="D15" s="15">
        <f>SUM(D16:D24)</f>
        <v>593093.88000000012</v>
      </c>
    </row>
    <row r="16" spans="1:4">
      <c r="A16" s="22" t="s">
        <v>103</v>
      </c>
      <c r="B16" s="17" t="s">
        <v>104</v>
      </c>
      <c r="C16" s="111">
        <v>452125.32</v>
      </c>
      <c r="D16" s="113">
        <v>264669.52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170406.15</f>
        <v>170406.15</v>
      </c>
      <c r="D18" s="19">
        <f>213617.27</f>
        <v>213617.27</v>
      </c>
    </row>
    <row r="19" spans="1:4">
      <c r="A19" s="22" t="s">
        <v>109</v>
      </c>
      <c r="B19" s="17" t="s">
        <v>110</v>
      </c>
      <c r="C19" s="18">
        <f>13449.8</f>
        <v>13449.8</v>
      </c>
      <c r="D19" s="19">
        <f>13458.84</f>
        <v>13458.84</v>
      </c>
    </row>
    <row r="20" spans="1:4">
      <c r="A20" s="22" t="s">
        <v>111</v>
      </c>
      <c r="B20" s="17" t="s">
        <v>112</v>
      </c>
      <c r="C20" s="18">
        <f>18057.1</f>
        <v>18057.099999999999</v>
      </c>
      <c r="D20" s="19">
        <f>18049.25</f>
        <v>18049.25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83299</f>
        <v>83299</v>
      </c>
      <c r="D22" s="19">
        <f>83299</f>
        <v>83299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1692753.2</v>
      </c>
      <c r="D25" s="15">
        <f>D26+D27+D30+D28+D29+D31</f>
        <v>1824301.8399999999</v>
      </c>
    </row>
    <row r="26" spans="1:4" ht="18" customHeight="1">
      <c r="A26" s="24" t="s">
        <v>123</v>
      </c>
      <c r="B26" s="20" t="s">
        <v>124</v>
      </c>
      <c r="C26" s="18">
        <f>604065.6</f>
        <v>604065.6</v>
      </c>
      <c r="D26" s="19">
        <f>604065.61</f>
        <v>604065.61</v>
      </c>
    </row>
    <row r="27" spans="1:4" ht="45">
      <c r="A27" s="24" t="s">
        <v>125</v>
      </c>
      <c r="B27" s="20" t="s">
        <v>126</v>
      </c>
      <c r="C27" s="18">
        <f>92346.84</f>
        <v>92346.84</v>
      </c>
      <c r="D27" s="19">
        <f>92331.72</f>
        <v>92331.72</v>
      </c>
    </row>
    <row r="28" spans="1:4" ht="28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92311.2</f>
        <v>92311.2</v>
      </c>
      <c r="D29" s="19">
        <f>91504.15</f>
        <v>91504.15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904029.56</v>
      </c>
      <c r="D31" s="15">
        <f>SUM(D32:D39)</f>
        <v>1036400.36</v>
      </c>
    </row>
    <row r="32" spans="1:4" ht="20.25" customHeight="1">
      <c r="A32" s="24" t="s">
        <v>135</v>
      </c>
      <c r="B32" s="17" t="s">
        <v>136</v>
      </c>
      <c r="C32" s="18">
        <f>137841.35</f>
        <v>137841.35</v>
      </c>
      <c r="D32" s="19">
        <f>137841.4</f>
        <v>137841.4</v>
      </c>
    </row>
    <row r="33" spans="1:9">
      <c r="A33" s="24" t="s">
        <v>137</v>
      </c>
      <c r="B33" s="17" t="s">
        <v>138</v>
      </c>
      <c r="C33" s="18">
        <f>131204.79</f>
        <v>131204.79</v>
      </c>
      <c r="D33" s="19">
        <f>129800.32</f>
        <v>129800.32000000001</v>
      </c>
    </row>
    <row r="34" spans="1:9">
      <c r="A34" s="24" t="s">
        <v>139</v>
      </c>
      <c r="B34" s="17" t="s">
        <v>140</v>
      </c>
      <c r="C34" s="18">
        <f>214734.48</f>
        <v>214734.48</v>
      </c>
      <c r="D34" s="19">
        <f>217133.63</f>
        <v>217133.63</v>
      </c>
    </row>
    <row r="35" spans="1:9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9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9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9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9" ht="44.25" customHeight="1">
      <c r="A39" s="24" t="s">
        <v>510</v>
      </c>
      <c r="B39" s="17" t="s">
        <v>150</v>
      </c>
      <c r="C39" s="18">
        <v>420248.94</v>
      </c>
      <c r="D39" s="19">
        <v>551625.01</v>
      </c>
      <c r="I39" s="87"/>
    </row>
    <row r="40" spans="1:9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9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9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9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9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9">
      <c r="A45" s="8" t="s">
        <v>161</v>
      </c>
      <c r="B45" s="9" t="s">
        <v>162</v>
      </c>
      <c r="C45" s="26">
        <f>SUM(C46:C48)</f>
        <v>62922.23</v>
      </c>
      <c r="D45" s="27">
        <f>SUM(D46:D48)</f>
        <v>68692.55</v>
      </c>
    </row>
    <row r="46" spans="1:9">
      <c r="A46" s="21" t="s">
        <v>163</v>
      </c>
      <c r="B46" s="17" t="s">
        <v>164</v>
      </c>
      <c r="C46" s="18">
        <f>53494.44</f>
        <v>53494.44</v>
      </c>
      <c r="D46" s="19">
        <f>59264.76</f>
        <v>59264.76</v>
      </c>
    </row>
    <row r="47" spans="1:9">
      <c r="A47" s="21" t="s">
        <v>149</v>
      </c>
      <c r="B47" s="17" t="s">
        <v>165</v>
      </c>
      <c r="C47" s="18">
        <f>0</f>
        <v>0</v>
      </c>
      <c r="D47" s="19">
        <v>0</v>
      </c>
    </row>
    <row r="48" spans="1:9">
      <c r="A48" s="21" t="s">
        <v>166</v>
      </c>
      <c r="B48" s="17" t="s">
        <v>167</v>
      </c>
      <c r="C48" s="18">
        <v>9427.7900000000009</v>
      </c>
      <c r="D48" s="19">
        <v>9427.7900000000009</v>
      </c>
    </row>
    <row r="49" spans="1:4">
      <c r="A49" s="8" t="s">
        <v>440</v>
      </c>
      <c r="B49" s="28" t="s">
        <v>168</v>
      </c>
      <c r="C49" s="29">
        <f>624005.28</f>
        <v>624005.28</v>
      </c>
      <c r="D49" s="30">
        <f>799590.64</f>
        <v>799590.64</v>
      </c>
    </row>
    <row r="50" spans="1:4">
      <c r="A50" s="8" t="s">
        <v>169</v>
      </c>
      <c r="B50" s="9" t="s">
        <v>170</v>
      </c>
      <c r="C50" s="14">
        <f>C8+C25+C40+C41+C42+C43+C44+C45+C49+C51+C52</f>
        <v>8515114.3800000008</v>
      </c>
      <c r="D50" s="15">
        <f>D8+D25+D40+D41+D42+D43+D44+D45+D49+D51+D52</f>
        <v>8515114.379999999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5242263.5999999996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5227545.72</f>
        <v>5227545.72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14717.88</f>
        <v>14717.88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2939328</f>
        <v>2939328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8181591.5999999996</v>
      </c>
      <c r="D59" s="27">
        <f>D54+D57+D58</f>
        <v>0</v>
      </c>
    </row>
    <row r="60" spans="1:4" ht="25.5">
      <c r="A60" s="33" t="s">
        <v>188</v>
      </c>
      <c r="B60" s="9"/>
      <c r="C60" s="34">
        <v>31607.7</v>
      </c>
      <c r="D60" s="35">
        <v>31607.7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H51" sqref="H51"/>
    </sheetView>
  </sheetViews>
  <sheetFormatPr defaultColWidth="11.7109375" defaultRowHeight="15"/>
  <cols>
    <col min="1" max="1" width="56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1428716.8199999998</v>
      </c>
      <c r="D8" s="11">
        <f>D9+D11+D14+D15</f>
        <v>1387566.87</v>
      </c>
    </row>
    <row r="9" spans="1:4" ht="30">
      <c r="A9" s="12" t="s">
        <v>90</v>
      </c>
      <c r="B9" s="13" t="s">
        <v>91</v>
      </c>
      <c r="C9" s="14">
        <f>1240693.44</f>
        <v>1240693.44</v>
      </c>
      <c r="D9" s="15">
        <f>1217895.04</f>
        <v>1217895.04</v>
      </c>
    </row>
    <row r="10" spans="1:4">
      <c r="A10" s="16" t="s">
        <v>92</v>
      </c>
      <c r="B10" s="17" t="s">
        <v>93</v>
      </c>
      <c r="C10" s="18">
        <f>720162.211981567</f>
        <v>720162.21198156697</v>
      </c>
      <c r="D10" s="19">
        <f>_50h_E12</f>
        <v>720162.21198156697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188023.38</v>
      </c>
      <c r="D15" s="15">
        <f>SUM(D16:D24)</f>
        <v>169671.83000000002</v>
      </c>
    </row>
    <row r="16" spans="1:4">
      <c r="A16" s="22" t="s">
        <v>103</v>
      </c>
      <c r="B16" s="17" t="s">
        <v>104</v>
      </c>
      <c r="C16" s="111">
        <v>136231.20000000001</v>
      </c>
      <c r="D16" s="113">
        <v>110673.58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28412.52</f>
        <v>28412.52</v>
      </c>
      <c r="D18" s="19">
        <f>35617.19</f>
        <v>35617.19</v>
      </c>
    </row>
    <row r="19" spans="1:4">
      <c r="A19" s="22" t="s">
        <v>109</v>
      </c>
      <c r="B19" s="17" t="s">
        <v>110</v>
      </c>
      <c r="C19" s="18">
        <f>4022.98</f>
        <v>4022.98</v>
      </c>
      <c r="D19" s="19">
        <f>4025.66</f>
        <v>4025.66</v>
      </c>
    </row>
    <row r="20" spans="1:4">
      <c r="A20" s="22" t="s">
        <v>111</v>
      </c>
      <c r="B20" s="17" t="s">
        <v>112</v>
      </c>
      <c r="C20" s="18">
        <f>2902.56</f>
        <v>2902.56</v>
      </c>
      <c r="D20" s="19">
        <f>2901.28</f>
        <v>2901.28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603466.98</v>
      </c>
      <c r="D25" s="15">
        <f>D26+D27+D30+D28+D29+D31</f>
        <v>610349.85</v>
      </c>
    </row>
    <row r="26" spans="1:4" ht="21" customHeight="1">
      <c r="A26" s="24" t="s">
        <v>123</v>
      </c>
      <c r="B26" s="20" t="s">
        <v>124</v>
      </c>
      <c r="C26" s="18">
        <f>294763.68</f>
        <v>294763.68</v>
      </c>
      <c r="D26" s="19">
        <f>287835.05</f>
        <v>287835.05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5.2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23939.88</f>
        <v>23939.88</v>
      </c>
      <c r="D29" s="19">
        <f>23730.55</f>
        <v>23730.55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130084.38</v>
      </c>
      <c r="D31" s="15">
        <f>SUM(D32:D39)</f>
        <v>144021.08000000002</v>
      </c>
    </row>
    <row r="32" spans="1:4" ht="19.5" customHeight="1">
      <c r="A32" s="24" t="s">
        <v>135</v>
      </c>
      <c r="B32" s="17" t="s">
        <v>136</v>
      </c>
      <c r="C32" s="18">
        <f>15315.71</f>
        <v>15315.71</v>
      </c>
      <c r="D32" s="19">
        <f>15315.68</f>
        <v>15315.68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26287.87</f>
        <v>26287.87</v>
      </c>
    </row>
    <row r="34" spans="1:4">
      <c r="A34" s="24" t="s">
        <v>139</v>
      </c>
      <c r="B34" s="17" t="s">
        <v>140</v>
      </c>
      <c r="C34" s="18">
        <f>29072.16</f>
        <v>29072.16</v>
      </c>
      <c r="D34" s="19">
        <f>28418.51</f>
        <v>28418.51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483</v>
      </c>
      <c r="B39" s="17" t="s">
        <v>150</v>
      </c>
      <c r="C39" s="18">
        <v>60553.03</v>
      </c>
      <c r="D39" s="19">
        <f>73999.02</f>
        <v>73999.02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14313.24</v>
      </c>
      <c r="D45" s="27">
        <f>SUM(D46:D48)</f>
        <v>15809.63</v>
      </c>
    </row>
    <row r="46" spans="1:4">
      <c r="A46" s="21" t="s">
        <v>163</v>
      </c>
      <c r="B46" s="17" t="s">
        <v>164</v>
      </c>
      <c r="C46" s="18">
        <f>13873.08</f>
        <v>13873.08</v>
      </c>
      <c r="D46" s="19">
        <f>15369.47</f>
        <v>15369.47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161828.64</f>
        <v>161828.64000000001</v>
      </c>
      <c r="D49" s="30">
        <f>194599.33</f>
        <v>194599.33</v>
      </c>
    </row>
    <row r="50" spans="1:4">
      <c r="A50" s="8" t="s">
        <v>169</v>
      </c>
      <c r="B50" s="9" t="s">
        <v>170</v>
      </c>
      <c r="C50" s="14">
        <f>C8+C25+C40+C41+C42+C43+C44+C45+C49+C51+C52</f>
        <v>2208325.6799999997</v>
      </c>
      <c r="D50" s="15">
        <f>D8+D25+D40+D41+D42+D43+D44+D45+D49+D51+D52</f>
        <v>2208325.6800000002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1311830.52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1215725.64</f>
        <v>1215725.6399999999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96104.88</f>
        <v>96104.88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653538</f>
        <v>653538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1965368.52</v>
      </c>
      <c r="D59" s="27">
        <f>D54+D57+D58</f>
        <v>0</v>
      </c>
    </row>
    <row r="60" spans="1:4" ht="25.5">
      <c r="A60" s="33" t="s">
        <v>188</v>
      </c>
      <c r="B60" s="9"/>
      <c r="C60" s="34">
        <v>8197.2000000000007</v>
      </c>
      <c r="D60" s="35">
        <v>8197.2000000000007</v>
      </c>
    </row>
    <row r="61" spans="1:4" ht="15.75" thickBot="1">
      <c r="A61" s="36" t="s">
        <v>189</v>
      </c>
      <c r="B61" s="37"/>
      <c r="C61" s="38">
        <f>(C50+C51+C52)/C60/12</f>
        <v>22.449999999999992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D39" sqref="D39"/>
    </sheetView>
  </sheetViews>
  <sheetFormatPr defaultColWidth="11.7109375" defaultRowHeight="15"/>
  <cols>
    <col min="1" max="1" width="59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282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2816375.88</v>
      </c>
      <c r="D8" s="11">
        <f>D9+D11+D14+D15</f>
        <v>2833813.64</v>
      </c>
    </row>
    <row r="9" spans="1:4" ht="30">
      <c r="A9" s="12" t="s">
        <v>90</v>
      </c>
      <c r="B9" s="13" t="s">
        <v>91</v>
      </c>
      <c r="C9" s="14">
        <f>2442662.2</f>
        <v>2442662.2000000002</v>
      </c>
      <c r="D9" s="15">
        <f>2432394.75</f>
        <v>2432394.75</v>
      </c>
    </row>
    <row r="10" spans="1:4">
      <c r="A10" s="16" t="s">
        <v>92</v>
      </c>
      <c r="B10" s="17" t="s">
        <v>93</v>
      </c>
      <c r="C10" s="18">
        <f>1414446.02150538</f>
        <v>1414446.02150538</v>
      </c>
      <c r="D10" s="19">
        <f>_51h_E12</f>
        <v>1414446.02150538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2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373713.67999999993</v>
      </c>
      <c r="D15" s="15">
        <f>SUM(D16:D24)</f>
        <v>401418.89</v>
      </c>
    </row>
    <row r="16" spans="1:4">
      <c r="A16" s="22" t="s">
        <v>103</v>
      </c>
      <c r="B16" s="17" t="s">
        <v>104</v>
      </c>
      <c r="C16" s="111">
        <v>272376.36</v>
      </c>
      <c r="D16" s="113">
        <v>286554.56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53331.72</f>
        <v>53331.72</v>
      </c>
      <c r="D18" s="19">
        <f>66855.37</f>
        <v>66855.37</v>
      </c>
    </row>
    <row r="19" spans="1:4">
      <c r="A19" s="22" t="s">
        <v>109</v>
      </c>
      <c r="B19" s="17" t="s">
        <v>110</v>
      </c>
      <c r="C19" s="18">
        <f>8984.74</f>
        <v>8984.74</v>
      </c>
      <c r="D19" s="19">
        <f>8990.78</f>
        <v>8990.7800000000007</v>
      </c>
    </row>
    <row r="20" spans="1:4">
      <c r="A20" s="22" t="s">
        <v>111</v>
      </c>
      <c r="B20" s="17" t="s">
        <v>112</v>
      </c>
      <c r="C20" s="18">
        <f>6112.62</f>
        <v>6112.62</v>
      </c>
      <c r="D20" s="19">
        <f>6109.94</f>
        <v>6109.94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32908.24</f>
        <v>32908.239999999998</v>
      </c>
      <c r="D22" s="19">
        <f>32908.24</f>
        <v>32908.239999999998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1170442.4000000139</v>
      </c>
      <c r="D25" s="15">
        <f>D26+D27+D30+D28+D29+D31</f>
        <v>980649.83</v>
      </c>
    </row>
    <row r="26" spans="1:4" ht="20.25" customHeight="1">
      <c r="A26" s="24" t="s">
        <v>123</v>
      </c>
      <c r="B26" s="20" t="s">
        <v>124</v>
      </c>
      <c r="C26" s="18">
        <f>529470.72</f>
        <v>529470.71999999997</v>
      </c>
      <c r="D26" s="19">
        <f>490235.35</f>
        <v>490235.35</v>
      </c>
    </row>
    <row r="27" spans="1:4" ht="45">
      <c r="A27" s="24" t="s">
        <v>125</v>
      </c>
      <c r="B27" s="20" t="s">
        <v>126</v>
      </c>
      <c r="C27" s="18">
        <f>36909.72</f>
        <v>36909.72</v>
      </c>
      <c r="D27" s="19">
        <f>36894.66</f>
        <v>36894.660000000003</v>
      </c>
    </row>
    <row r="28" spans="1:4" ht="35.2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47482.44</f>
        <v>47482.44</v>
      </c>
      <c r="D29" s="19">
        <f>47067.36</f>
        <v>47067.360000000001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284275.52000001399</v>
      </c>
      <c r="D31" s="15">
        <f>SUM(D32:D39)</f>
        <v>134148.46</v>
      </c>
    </row>
    <row r="32" spans="1:4" ht="19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50090.52</f>
        <v>50090.52</v>
      </c>
      <c r="D33" s="19">
        <f>46730.17</f>
        <v>46730.17</v>
      </c>
    </row>
    <row r="34" spans="1:4">
      <c r="A34" s="24" t="s">
        <v>139</v>
      </c>
      <c r="B34" s="17" t="s">
        <v>140</v>
      </c>
      <c r="C34" s="18">
        <f>58093.08</f>
        <v>58093.08</v>
      </c>
      <c r="D34" s="19">
        <f>56786.88</f>
        <v>56786.879999999997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145460.510000014</f>
        <v>145460.51000001401</v>
      </c>
      <c r="D39" s="19"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5.75" customHeight="1">
      <c r="A43" s="8" t="s">
        <v>157</v>
      </c>
      <c r="B43" s="9" t="s">
        <v>158</v>
      </c>
      <c r="C43" s="26">
        <f>0</f>
        <v>0</v>
      </c>
      <c r="D43" s="27">
        <v>18749.759999999998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72196.3</v>
      </c>
      <c r="D45" s="27">
        <f>SUM(D46:D48)</f>
        <v>135485.01</v>
      </c>
    </row>
    <row r="46" spans="1:4">
      <c r="A46" s="21" t="s">
        <v>163</v>
      </c>
      <c r="B46" s="17" t="s">
        <v>164</v>
      </c>
      <c r="C46" s="18">
        <f>27516.12</f>
        <v>27516.12</v>
      </c>
      <c r="D46" s="19">
        <f>30484.25</f>
        <v>30484.25</v>
      </c>
    </row>
    <row r="47" spans="1:4">
      <c r="A47" s="21" t="s">
        <v>149</v>
      </c>
      <c r="B47" s="17" t="s">
        <v>165</v>
      </c>
      <c r="C47" s="18">
        <f>43799.86</f>
        <v>43799.86</v>
      </c>
      <c r="D47" s="19">
        <f>104120.44</f>
        <v>104120.44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320971.44</f>
        <v>320971.44</v>
      </c>
      <c r="D49" s="30">
        <f>411287.78</f>
        <v>411287.78</v>
      </c>
    </row>
    <row r="50" spans="1:4">
      <c r="A50" s="8" t="s">
        <v>169</v>
      </c>
      <c r="B50" s="9" t="s">
        <v>170</v>
      </c>
      <c r="C50" s="14">
        <f>C8+C25+C40+C41+C42+C43+C44+C45+C49+C51+C52</f>
        <v>4379986.0200000135</v>
      </c>
      <c r="D50" s="15">
        <f>D8+D25+D40+D41+D42+D43+D44+D45+D49+D51+D52</f>
        <v>4379986.0200000005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2480885.04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2480885.04</f>
        <v>2480885.04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0</f>
        <v>0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1341318</f>
        <v>1341318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3822203.04</v>
      </c>
      <c r="D59" s="27">
        <f>D54+D57+D58</f>
        <v>0</v>
      </c>
    </row>
    <row r="60" spans="1:4" ht="25.5">
      <c r="A60" s="33" t="s">
        <v>188</v>
      </c>
      <c r="B60" s="9"/>
      <c r="C60" s="34">
        <v>16258.3</v>
      </c>
      <c r="D60" s="35">
        <v>16258.3</v>
      </c>
    </row>
    <row r="61" spans="1:4" ht="15.75" thickBot="1">
      <c r="A61" s="36" t="s">
        <v>189</v>
      </c>
      <c r="B61" s="37"/>
      <c r="C61" s="38">
        <f>(C50+C51+C52)/C60/12</f>
        <v>22.45000000000007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D261"/>
  <sheetViews>
    <sheetView topLeftCell="A22" workbookViewId="0">
      <selection activeCell="A39" sqref="A39"/>
    </sheetView>
  </sheetViews>
  <sheetFormatPr defaultColWidth="11.7109375" defaultRowHeight="15"/>
  <cols>
    <col min="1" max="1" width="60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1408493.61</v>
      </c>
      <c r="D8" s="11">
        <f>D9+D11+D14+D15</f>
        <v>1402180.98</v>
      </c>
    </row>
    <row r="9" spans="1:4" ht="30">
      <c r="A9" s="12" t="s">
        <v>90</v>
      </c>
      <c r="B9" s="13" t="s">
        <v>91</v>
      </c>
      <c r="C9" s="14">
        <f>1221941.51</f>
        <v>1221941.51</v>
      </c>
      <c r="D9" s="15">
        <f>1201514.42</f>
        <v>1201514.42</v>
      </c>
    </row>
    <row r="10" spans="1:4">
      <c r="A10" s="16" t="s">
        <v>92</v>
      </c>
      <c r="B10" s="17" t="s">
        <v>93</v>
      </c>
      <c r="C10" s="18">
        <f>708301.006144393</f>
        <v>708301.006144393</v>
      </c>
      <c r="D10" s="19">
        <f>_52h_E12</f>
        <v>708301.006144393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186552.10000000003</v>
      </c>
      <c r="D15" s="15">
        <f>SUM(D16:D24)</f>
        <v>200666.56</v>
      </c>
    </row>
    <row r="16" spans="1:4">
      <c r="A16" s="22" t="s">
        <v>103</v>
      </c>
      <c r="B16" s="17" t="s">
        <v>104</v>
      </c>
      <c r="C16" s="111">
        <v>136184.70000000001</v>
      </c>
      <c r="D16" s="113">
        <v>143545.5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26627.04</f>
        <v>26627.040000000001</v>
      </c>
      <c r="D18" s="19">
        <f>33379.24</f>
        <v>33379.24</v>
      </c>
    </row>
    <row r="19" spans="1:4">
      <c r="A19" s="22" t="s">
        <v>109</v>
      </c>
      <c r="B19" s="17" t="s">
        <v>110</v>
      </c>
      <c r="C19" s="18">
        <f>4226.6</f>
        <v>4226.6000000000004</v>
      </c>
      <c r="D19" s="19">
        <f>4229.42</f>
        <v>4229.42</v>
      </c>
    </row>
    <row r="20" spans="1:4">
      <c r="A20" s="22" t="s">
        <v>111</v>
      </c>
      <c r="B20" s="17" t="s">
        <v>112</v>
      </c>
      <c r="C20" s="18">
        <f>3059.64</f>
        <v>3059.64</v>
      </c>
      <c r="D20" s="19">
        <f>3058.28</f>
        <v>3058.28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601497.69000001007</v>
      </c>
      <c r="D25" s="15">
        <f>D26+D27+D30+D28+D29+D31</f>
        <v>567168.34</v>
      </c>
    </row>
    <row r="26" spans="1:4" ht="20.25" customHeight="1">
      <c r="A26" s="24" t="s">
        <v>123</v>
      </c>
      <c r="B26" s="20" t="s">
        <v>124</v>
      </c>
      <c r="C26" s="18">
        <f>226741.32</f>
        <v>226741.32</v>
      </c>
      <c r="D26" s="19">
        <f>212580.75</f>
        <v>212580.75</v>
      </c>
    </row>
    <row r="27" spans="1:4" ht="33" customHeight="1">
      <c r="A27" s="24" t="s">
        <v>125</v>
      </c>
      <c r="B27" s="20" t="s">
        <v>126</v>
      </c>
      <c r="C27" s="18">
        <f>18382.32</f>
        <v>18382.32</v>
      </c>
      <c r="D27" s="19">
        <f>18412.94</f>
        <v>18412.939999999999</v>
      </c>
    </row>
    <row r="28" spans="1:4" ht="30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23678.52</f>
        <v>23678.52</v>
      </c>
      <c r="D29" s="19">
        <f>23471.42</f>
        <v>23471.42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196543.53000001001</v>
      </c>
      <c r="D31" s="15">
        <f>SUM(D32:D39)</f>
        <v>176551.22999999998</v>
      </c>
    </row>
    <row r="32" spans="1:4" ht="21" customHeight="1">
      <c r="A32" s="24" t="s">
        <v>135</v>
      </c>
      <c r="B32" s="17" t="s">
        <v>136</v>
      </c>
      <c r="C32" s="18">
        <f>15315.71</f>
        <v>15315.71</v>
      </c>
      <c r="D32" s="19">
        <f>15315.68</f>
        <v>15315.68</v>
      </c>
    </row>
    <row r="33" spans="1:4">
      <c r="A33" s="24" t="s">
        <v>137</v>
      </c>
      <c r="B33" s="17" t="s">
        <v>138</v>
      </c>
      <c r="C33" s="18">
        <f>24947.04</f>
        <v>24947.040000000001</v>
      </c>
      <c r="D33" s="19">
        <f>40713.33</f>
        <v>40713.33</v>
      </c>
    </row>
    <row r="34" spans="1:4">
      <c r="A34" s="24" t="s">
        <v>139</v>
      </c>
      <c r="B34" s="17" t="s">
        <v>140</v>
      </c>
      <c r="C34" s="18">
        <f>29072.16</f>
        <v>29072.16</v>
      </c>
      <c r="D34" s="19">
        <f>28418.46</f>
        <v>28418.46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482</v>
      </c>
      <c r="B39" s="17" t="s">
        <v>150</v>
      </c>
      <c r="C39" s="18">
        <f>127208.62000001</f>
        <v>127208.62000001001</v>
      </c>
      <c r="D39" s="19">
        <f>92103.76</f>
        <v>92103.76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14161.8</v>
      </c>
      <c r="D45" s="27">
        <f>SUM(D46:D48)</f>
        <v>15641.85</v>
      </c>
    </row>
    <row r="46" spans="1:4">
      <c r="A46" s="21" t="s">
        <v>163</v>
      </c>
      <c r="B46" s="17" t="s">
        <v>164</v>
      </c>
      <c r="C46" s="18">
        <f>13721.64</f>
        <v>13721.64</v>
      </c>
      <c r="D46" s="19">
        <f>15201.69</f>
        <v>15201.69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160061.28</f>
        <v>160061.28</v>
      </c>
      <c r="D49" s="30">
        <f>199223.21</f>
        <v>199223.21</v>
      </c>
    </row>
    <row r="50" spans="1:4">
      <c r="A50" s="8" t="s">
        <v>169</v>
      </c>
      <c r="B50" s="9" t="s">
        <v>170</v>
      </c>
      <c r="C50" s="14">
        <f>C8+C25+C40+C41+C42+C43+C44+C45+C49+C51+C52</f>
        <v>2184214.3800000101</v>
      </c>
      <c r="D50" s="15">
        <f>D8+D25+D40+D41+D42+D43+D44+D45+D49+D51+D52</f>
        <v>2184214.38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1304396.22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1224300.9</f>
        <v>1224300.8999999999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80095.32</f>
        <v>80095.320000000007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656160</f>
        <v>656160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1960556.22</v>
      </c>
      <c r="D59" s="27">
        <f>D54+D57+D58</f>
        <v>0</v>
      </c>
    </row>
    <row r="60" spans="1:4" ht="25.5">
      <c r="A60" s="33" t="s">
        <v>188</v>
      </c>
      <c r="B60" s="9"/>
      <c r="C60" s="34">
        <v>8107.7</v>
      </c>
      <c r="D60" s="35">
        <v>8107.7</v>
      </c>
    </row>
    <row r="61" spans="1:4" ht="15.75" thickBot="1">
      <c r="A61" s="36" t="s">
        <v>189</v>
      </c>
      <c r="B61" s="37"/>
      <c r="C61" s="38">
        <f>(C50+C51+C52)/C60/12</f>
        <v>22.450000000000102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7" sqref="D47"/>
    </sheetView>
  </sheetViews>
  <sheetFormatPr defaultColWidth="11.7109375" defaultRowHeight="15"/>
  <cols>
    <col min="1" max="1" width="57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285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2856786.89</v>
      </c>
      <c r="D8" s="11">
        <f>D9+D11+D14+D15</f>
        <v>2790590.53</v>
      </c>
    </row>
    <row r="9" spans="1:4" ht="30">
      <c r="A9" s="12" t="s">
        <v>90</v>
      </c>
      <c r="B9" s="13" t="s">
        <v>91</v>
      </c>
      <c r="C9" s="14">
        <f>2479755.97</f>
        <v>2479755.9700000002</v>
      </c>
      <c r="D9" s="15">
        <v>2413672.0299999998</v>
      </c>
    </row>
    <row r="10" spans="1:4">
      <c r="A10" s="16" t="s">
        <v>92</v>
      </c>
      <c r="B10" s="17" t="s">
        <v>93</v>
      </c>
      <c r="C10" s="18">
        <f>1441325.906298</f>
        <v>1441325.9062979999</v>
      </c>
      <c r="D10" s="19">
        <f>_53h_E12</f>
        <v>1441325.9062979999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377030.92</v>
      </c>
      <c r="D15" s="15">
        <f>SUM(D16:D24)</f>
        <v>376918.5</v>
      </c>
    </row>
    <row r="16" spans="1:4">
      <c r="A16" s="22" t="s">
        <v>103</v>
      </c>
      <c r="B16" s="17" t="s">
        <v>104</v>
      </c>
      <c r="C16" s="111">
        <v>270274.8</v>
      </c>
      <c r="D16" s="113">
        <v>254923.02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60085.56</f>
        <v>60085.56</v>
      </c>
      <c r="D18" s="19">
        <f>75321.92</f>
        <v>75321.919999999998</v>
      </c>
    </row>
    <row r="19" spans="1:4">
      <c r="A19" s="22" t="s">
        <v>109</v>
      </c>
      <c r="B19" s="17" t="s">
        <v>110</v>
      </c>
      <c r="C19" s="18">
        <f>8158.56</f>
        <v>8158.56</v>
      </c>
      <c r="D19" s="19">
        <f>8164.04</f>
        <v>8164.04</v>
      </c>
    </row>
    <row r="20" spans="1:4">
      <c r="A20" s="22" t="s">
        <v>111</v>
      </c>
      <c r="B20" s="17" t="s">
        <v>112</v>
      </c>
      <c r="C20" s="18">
        <f>5603.76</f>
        <v>5603.76</v>
      </c>
      <c r="D20" s="19">
        <f>5601.28</f>
        <v>5601.28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32908.24</f>
        <v>32908.239999999998</v>
      </c>
      <c r="D22" s="19">
        <f>32908.24</f>
        <v>32908.239999999998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1175927.58</v>
      </c>
      <c r="D25" s="15">
        <f>D26+D27+D30+D28+D29+D31</f>
        <v>980235.93</v>
      </c>
    </row>
    <row r="26" spans="1:4" ht="18.75" customHeight="1">
      <c r="A26" s="24" t="s">
        <v>123</v>
      </c>
      <c r="B26" s="20" t="s">
        <v>124</v>
      </c>
      <c r="C26" s="18">
        <f>453482.52</f>
        <v>453482.52</v>
      </c>
      <c r="D26" s="19">
        <f>448758.74</f>
        <v>448758.74</v>
      </c>
    </row>
    <row r="27" spans="1:4" ht="45">
      <c r="A27" s="24" t="s">
        <v>125</v>
      </c>
      <c r="B27" s="20" t="s">
        <v>126</v>
      </c>
      <c r="C27" s="18">
        <f>36909.72</f>
        <v>36909.72</v>
      </c>
      <c r="D27" s="19">
        <f>36894.66</f>
        <v>36894.660000000003</v>
      </c>
    </row>
    <row r="28" spans="1:4" ht="33.75" customHeight="1">
      <c r="A28" s="21" t="s">
        <v>127</v>
      </c>
      <c r="B28" s="20" t="s">
        <v>128</v>
      </c>
      <c r="C28" s="18">
        <f>272304</f>
        <v>272304</v>
      </c>
      <c r="D28" s="19">
        <f>272304.12</f>
        <v>272304.12</v>
      </c>
    </row>
    <row r="29" spans="1:4">
      <c r="A29" s="21" t="s">
        <v>129</v>
      </c>
      <c r="B29" s="20" t="s">
        <v>130</v>
      </c>
      <c r="C29" s="18">
        <f>47648.04</f>
        <v>47648.04</v>
      </c>
      <c r="D29" s="19">
        <f>47231.49</f>
        <v>47231.49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365583.3</v>
      </c>
      <c r="D31" s="15">
        <f>SUM(D32:D39)</f>
        <v>175046.92</v>
      </c>
    </row>
    <row r="32" spans="1:4" ht="18.7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50090.52</f>
        <v>50090.52</v>
      </c>
      <c r="D33" s="19">
        <f>48165.32</f>
        <v>48165.32</v>
      </c>
    </row>
    <row r="34" spans="1:4">
      <c r="A34" s="24" t="s">
        <v>139</v>
      </c>
      <c r="B34" s="17" t="s">
        <v>140</v>
      </c>
      <c r="C34" s="18">
        <f>87165.36</f>
        <v>87165.36</v>
      </c>
      <c r="D34" s="19">
        <f>85649.49</f>
        <v>85649.49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197696.01</v>
      </c>
      <c r="D39" s="19">
        <v>10600.7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v>11963.17</v>
      </c>
      <c r="D42" s="27">
        <v>11963.17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28492.44</v>
      </c>
      <c r="D45" s="27">
        <f>SUM(D46:D48)</f>
        <v>199749.14</v>
      </c>
    </row>
    <row r="46" spans="1:4">
      <c r="A46" s="21" t="s">
        <v>163</v>
      </c>
      <c r="B46" s="17" t="s">
        <v>164</v>
      </c>
      <c r="C46" s="18">
        <f>27612.12</f>
        <v>27612.12</v>
      </c>
      <c r="D46" s="19">
        <f>30590.59</f>
        <v>30590.59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168278.23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322090.92</f>
        <v>322090.92</v>
      </c>
      <c r="D49" s="30">
        <f>412722.23</f>
        <v>412722.23</v>
      </c>
    </row>
    <row r="50" spans="1:4">
      <c r="A50" s="8" t="s">
        <v>169</v>
      </c>
      <c r="B50" s="9" t="s">
        <v>170</v>
      </c>
      <c r="C50" s="14">
        <f>C8+C25+C40+C41+C42+C43+C44+C45+C49+C51+C52</f>
        <v>4395261</v>
      </c>
      <c r="D50" s="15">
        <f>D8+D25+D40+D41+D42+D43+D44+D45+D49+D51+D52</f>
        <v>4395261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2686438.2600000002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2513454.54</f>
        <v>2513454.54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172983.72</f>
        <v>172983.72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1363182</f>
        <v>1363182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4049620.2600000002</v>
      </c>
      <c r="D59" s="27">
        <f>D54+D57+D58</f>
        <v>0</v>
      </c>
    </row>
    <row r="60" spans="1:4" ht="25.5">
      <c r="A60" s="33" t="s">
        <v>188</v>
      </c>
      <c r="B60" s="9"/>
      <c r="C60" s="34">
        <v>16315</v>
      </c>
      <c r="D60" s="35">
        <v>16315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D261"/>
  <sheetViews>
    <sheetView topLeftCell="A19" workbookViewId="0">
      <selection activeCell="D9" sqref="D9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287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2751863.7199999997</v>
      </c>
      <c r="D8" s="11">
        <f>D9+D11+D14+D15</f>
        <v>2638049.9500000002</v>
      </c>
    </row>
    <row r="9" spans="1:4" ht="30">
      <c r="A9" s="12" t="s">
        <v>90</v>
      </c>
      <c r="B9" s="13" t="s">
        <v>91</v>
      </c>
      <c r="C9" s="14">
        <f>2424939.82</f>
        <v>2424939.8199999998</v>
      </c>
      <c r="D9" s="15">
        <f>2414705.33</f>
        <v>2414705.33</v>
      </c>
    </row>
    <row r="10" spans="1:4">
      <c r="A10" s="16" t="s">
        <v>92</v>
      </c>
      <c r="B10" s="17" t="s">
        <v>93</v>
      </c>
      <c r="C10" s="18">
        <f>1401836.75883257</f>
        <v>1401836.7588325699</v>
      </c>
      <c r="D10" s="19">
        <f>_54h_E12</f>
        <v>1401836.7588325699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326923.89999999997</v>
      </c>
      <c r="D15" s="15">
        <f>SUM(D16:D24)</f>
        <v>223344.61999999997</v>
      </c>
    </row>
    <row r="16" spans="1:4">
      <c r="A16" s="22" t="s">
        <v>103</v>
      </c>
      <c r="B16" s="17" t="s">
        <v>104</v>
      </c>
      <c r="C16" s="111">
        <v>280616.88</v>
      </c>
      <c r="D16" s="113">
        <v>177034.68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0</f>
        <v>0</v>
      </c>
      <c r="D18" s="19">
        <f>0</f>
        <v>0</v>
      </c>
    </row>
    <row r="19" spans="1:4">
      <c r="A19" s="22" t="s">
        <v>109</v>
      </c>
      <c r="B19" s="17" t="s">
        <v>110</v>
      </c>
      <c r="C19" s="18">
        <f>7931.62</f>
        <v>7931.62</v>
      </c>
      <c r="D19" s="19">
        <f>7936.96</f>
        <v>7936.96</v>
      </c>
    </row>
    <row r="20" spans="1:4">
      <c r="A20" s="22" t="s">
        <v>111</v>
      </c>
      <c r="B20" s="17" t="s">
        <v>112</v>
      </c>
      <c r="C20" s="18">
        <f>5467.16</f>
        <v>5467.16</v>
      </c>
      <c r="D20" s="19">
        <f>5464.74</f>
        <v>5464.74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32908.24</f>
        <v>32908.239999999998</v>
      </c>
      <c r="D22" s="19">
        <f>32908.24</f>
        <v>32908.239999999998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1226296.9200000165</v>
      </c>
      <c r="D25" s="15">
        <f>D26+D27+D30+D28+D29+D31</f>
        <v>1197667.3899999999</v>
      </c>
    </row>
    <row r="26" spans="1:4" ht="20.25" customHeight="1">
      <c r="A26" s="24" t="s">
        <v>123</v>
      </c>
      <c r="B26" s="20" t="s">
        <v>124</v>
      </c>
      <c r="C26" s="18">
        <f>529470.72</f>
        <v>529470.71999999997</v>
      </c>
      <c r="D26" s="19">
        <f>508512.49</f>
        <v>508512.49</v>
      </c>
    </row>
    <row r="27" spans="1:4" ht="45">
      <c r="A27" s="24" t="s">
        <v>125</v>
      </c>
      <c r="B27" s="20" t="s">
        <v>126</v>
      </c>
      <c r="C27" s="18">
        <f>36909.72</f>
        <v>36909.72</v>
      </c>
      <c r="D27" s="19">
        <f>36825.85</f>
        <v>36825.85</v>
      </c>
    </row>
    <row r="28" spans="1:4" ht="33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47379.36</f>
        <v>47379.360000000001</v>
      </c>
      <c r="D29" s="19">
        <f>46965.14</f>
        <v>46965.14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340233.12000001647</v>
      </c>
      <c r="D31" s="15">
        <f>SUM(D32:D39)</f>
        <v>333059.90999999997</v>
      </c>
    </row>
    <row r="32" spans="1:4" ht="21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50090.52</f>
        <v>50090.52</v>
      </c>
      <c r="D33" s="19">
        <f>49161.98</f>
        <v>49161.98</v>
      </c>
    </row>
    <row r="34" spans="1:4">
      <c r="A34" s="24" t="s">
        <v>139</v>
      </c>
      <c r="B34" s="17" t="s">
        <v>140</v>
      </c>
      <c r="C34" s="18">
        <f>87165.36</f>
        <v>87165.36</v>
      </c>
      <c r="D34" s="19">
        <f>85205.42</f>
        <v>85205.42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28345.8300000165</f>
        <v>28345.8300000165</v>
      </c>
      <c r="D39" s="19">
        <f>24061.1</f>
        <v>24061.1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72041.440000000002</v>
      </c>
      <c r="D45" s="27">
        <f>SUM(D46:D48)</f>
        <v>124364.76000000001</v>
      </c>
    </row>
    <row r="46" spans="1:4">
      <c r="A46" s="21" t="s">
        <v>163</v>
      </c>
      <c r="B46" s="17" t="s">
        <v>164</v>
      </c>
      <c r="C46" s="18">
        <f>27456.36</f>
        <v>27456.36</v>
      </c>
      <c r="D46" s="19">
        <f>30418.02</f>
        <v>30418.02</v>
      </c>
    </row>
    <row r="47" spans="1:4">
      <c r="A47" s="21" t="s">
        <v>149</v>
      </c>
      <c r="B47" s="17" t="s">
        <v>165</v>
      </c>
      <c r="C47" s="18">
        <f>43704.76</f>
        <v>43704.76</v>
      </c>
      <c r="D47" s="19">
        <f>93066.42</f>
        <v>93066.42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320274.12</f>
        <v>320274.12</v>
      </c>
      <c r="D49" s="30">
        <f>410394.1</f>
        <v>410394.1</v>
      </c>
    </row>
    <row r="50" spans="1:4">
      <c r="A50" s="8" t="s">
        <v>169</v>
      </c>
      <c r="B50" s="9" t="s">
        <v>170</v>
      </c>
      <c r="C50" s="14">
        <f>C8+C25+C40+C41+C42+C43+C44+C45+C49+C51+C52</f>
        <v>4370476.200000016</v>
      </c>
      <c r="D50" s="15">
        <f>D8+D25+D40+D41+D42+D43+D44+D45+D49+D51+D52</f>
        <v>4370476.1999999993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2701105.5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2701105.5</f>
        <v>2701105.5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0</f>
        <v>0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1496340</f>
        <v>1496340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4197445.5</v>
      </c>
      <c r="D59" s="27">
        <f>D54+D57+D58</f>
        <v>0</v>
      </c>
    </row>
    <row r="60" spans="1:4" ht="25.5">
      <c r="A60" s="33" t="s">
        <v>188</v>
      </c>
      <c r="B60" s="9"/>
      <c r="C60" s="34">
        <v>16223</v>
      </c>
      <c r="D60" s="35">
        <v>16223</v>
      </c>
    </row>
    <row r="61" spans="1:4" ht="15.75" thickBot="1">
      <c r="A61" s="36" t="s">
        <v>189</v>
      </c>
      <c r="B61" s="37"/>
      <c r="C61" s="38">
        <f>(C50+C51+C52)/C60/12</f>
        <v>22.450000000000085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D9" sqref="D9"/>
    </sheetView>
  </sheetViews>
  <sheetFormatPr defaultColWidth="11.7109375" defaultRowHeight="15"/>
  <cols>
    <col min="1" max="1" width="61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289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2806554.23</v>
      </c>
      <c r="D8" s="11">
        <f>D9+D11+D14+D15</f>
        <v>2711179.43</v>
      </c>
    </row>
    <row r="9" spans="1:4" ht="30">
      <c r="A9" s="12" t="s">
        <v>90</v>
      </c>
      <c r="B9" s="13" t="s">
        <v>91</v>
      </c>
      <c r="C9" s="14">
        <f>2496662.19</f>
        <v>2496662.19</v>
      </c>
      <c r="D9" s="15">
        <f>2430918.5</f>
        <v>2430918.5</v>
      </c>
    </row>
    <row r="10" spans="1:4">
      <c r="A10" s="16" t="s">
        <v>92</v>
      </c>
      <c r="B10" s="17" t="s">
        <v>93</v>
      </c>
      <c r="C10" s="18">
        <f>1451953.94009217</f>
        <v>1451953.9400921699</v>
      </c>
      <c r="D10" s="19">
        <f>_55h_E12</f>
        <v>1451953.9400921699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309892.03999999998</v>
      </c>
      <c r="D15" s="15">
        <f>SUM(D16:D24)</f>
        <v>280260.93</v>
      </c>
    </row>
    <row r="16" spans="1:4">
      <c r="A16" s="22" t="s">
        <v>103</v>
      </c>
      <c r="B16" s="17" t="s">
        <v>104</v>
      </c>
      <c r="C16" s="111">
        <v>237895.44</v>
      </c>
      <c r="D16" s="113">
        <v>193831.72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56902.8</f>
        <v>56902.8</v>
      </c>
      <c r="D18" s="19">
        <f>71332.13</f>
        <v>71332.13</v>
      </c>
    </row>
    <row r="19" spans="1:4">
      <c r="A19" s="22" t="s">
        <v>109</v>
      </c>
      <c r="B19" s="17" t="s">
        <v>110</v>
      </c>
      <c r="C19" s="18">
        <f>8906.08</f>
        <v>8906.08</v>
      </c>
      <c r="D19" s="19">
        <f>8912.06</f>
        <v>8912.06</v>
      </c>
    </row>
    <row r="20" spans="1:4">
      <c r="A20" s="22" t="s">
        <v>111</v>
      </c>
      <c r="B20" s="17" t="s">
        <v>112</v>
      </c>
      <c r="C20" s="18">
        <f>6187.72</f>
        <v>6187.72</v>
      </c>
      <c r="D20" s="19">
        <f>6185.02</f>
        <v>6185.02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1258570.03</v>
      </c>
      <c r="D25" s="15">
        <f>D26+D27+D30+D28+D29+D31</f>
        <v>1275709.79</v>
      </c>
    </row>
    <row r="26" spans="1:4" ht="20.25" customHeight="1">
      <c r="A26" s="24" t="s">
        <v>123</v>
      </c>
      <c r="B26" s="20" t="s">
        <v>124</v>
      </c>
      <c r="C26" s="18">
        <f>589527.36</f>
        <v>589527.36</v>
      </c>
      <c r="D26" s="19">
        <f>576631.45</f>
        <v>576631.44999999995</v>
      </c>
    </row>
    <row r="27" spans="1:4" ht="34.5" customHeight="1">
      <c r="A27" s="24" t="s">
        <v>125</v>
      </c>
      <c r="B27" s="20" t="s">
        <v>126</v>
      </c>
      <c r="C27" s="18">
        <f>36909.72</f>
        <v>36909.72</v>
      </c>
      <c r="D27" s="19">
        <f>36825.85</f>
        <v>36825.85</v>
      </c>
    </row>
    <row r="28" spans="1:4" ht="33" customHeight="1">
      <c r="A28" s="21" t="s">
        <v>127</v>
      </c>
      <c r="B28" s="20" t="s">
        <v>128</v>
      </c>
      <c r="C28" s="18">
        <f>272304</f>
        <v>272304</v>
      </c>
      <c r="D28" s="19">
        <f>272304.12</f>
        <v>272304.12</v>
      </c>
    </row>
    <row r="29" spans="1:4">
      <c r="A29" s="21" t="s">
        <v>129</v>
      </c>
      <c r="B29" s="20" t="s">
        <v>130</v>
      </c>
      <c r="C29" s="18">
        <f>47890.44</f>
        <v>47890.44</v>
      </c>
      <c r="D29" s="19">
        <f>47471.78</f>
        <v>47471.78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311938.50999999995</v>
      </c>
      <c r="D31" s="15">
        <f>SUM(D32:D39)</f>
        <v>342476.59</v>
      </c>
    </row>
    <row r="32" spans="1:4" ht="19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50090.52</f>
        <v>50090.52</v>
      </c>
      <c r="D33" s="19">
        <f>62201.63</f>
        <v>62201.63</v>
      </c>
    </row>
    <row r="34" spans="1:4">
      <c r="A34" s="24" t="s">
        <v>139</v>
      </c>
      <c r="B34" s="17" t="s">
        <v>140</v>
      </c>
      <c r="C34" s="18">
        <f>87165.36</f>
        <v>87165.36</v>
      </c>
      <c r="D34" s="19">
        <f>85649.49</f>
        <v>85649.49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51.22</v>
      </c>
      <c r="D39" s="19">
        <f>19994.06</f>
        <v>19994.060000000001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8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28632.84</v>
      </c>
      <c r="D45" s="27">
        <f>SUM(D46:D48)</f>
        <v>31626.48</v>
      </c>
    </row>
    <row r="46" spans="1:4">
      <c r="A46" s="21" t="s">
        <v>163</v>
      </c>
      <c r="B46" s="17" t="s">
        <v>164</v>
      </c>
      <c r="C46" s="18">
        <f>27752.52</f>
        <v>27752.52</v>
      </c>
      <c r="D46" s="19">
        <f>30746.16</f>
        <v>30746.16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323729.4</f>
        <v>323729.40000000002</v>
      </c>
      <c r="D49" s="30">
        <f>398970.8</f>
        <v>398970.8</v>
      </c>
    </row>
    <row r="50" spans="1:4">
      <c r="A50" s="8" t="s">
        <v>169</v>
      </c>
      <c r="B50" s="9" t="s">
        <v>170</v>
      </c>
      <c r="C50" s="14">
        <f>C8+C25+C40+C41+C42+C43+C44+C45+C49+C51+C52</f>
        <v>4417486.5</v>
      </c>
      <c r="D50" s="15">
        <f>D8+D25+D40+D41+D42+D43+D44+D45+D49+D51+D52</f>
        <v>4417486.5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2630130.6599999997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2486419.38</f>
        <v>2486419.38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143711.28</f>
        <v>143711.28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1342170</f>
        <v>1342170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3972300.6599999997</v>
      </c>
      <c r="D59" s="27">
        <f>D54+D57+D58</f>
        <v>0</v>
      </c>
    </row>
    <row r="60" spans="1:4" ht="25.5">
      <c r="A60" s="33" t="s">
        <v>188</v>
      </c>
      <c r="B60" s="9"/>
      <c r="C60" s="34">
        <v>16397.5</v>
      </c>
      <c r="D60" s="35">
        <v>16397.5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G14" sqref="G14"/>
    </sheetView>
  </sheetViews>
  <sheetFormatPr defaultColWidth="11.7109375" defaultRowHeight="15"/>
  <cols>
    <col min="1" max="1" width="60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291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2762212.47</v>
      </c>
      <c r="D8" s="11">
        <f>D9+D11+D14+D15</f>
        <v>2792788.83</v>
      </c>
    </row>
    <row r="9" spans="1:4" ht="30">
      <c r="A9" s="12" t="s">
        <v>90</v>
      </c>
      <c r="B9" s="13" t="s">
        <v>91</v>
      </c>
      <c r="C9" s="14">
        <f>2476701.6</f>
        <v>2476701.6</v>
      </c>
      <c r="D9" s="15">
        <f>2415589.07</f>
        <v>2415589.0699999998</v>
      </c>
    </row>
    <row r="10" spans="1:4">
      <c r="A10" s="16" t="s">
        <v>92</v>
      </c>
      <c r="B10" s="17" t="s">
        <v>93</v>
      </c>
      <c r="C10" s="18">
        <f>1441762.58064516</f>
        <v>1441762.5806451601</v>
      </c>
      <c r="D10" s="19">
        <f>_56h_E12</f>
        <v>1441762.5806451601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285510.87</v>
      </c>
      <c r="D15" s="15">
        <f>SUM(D16:D24)</f>
        <v>377199.76</v>
      </c>
    </row>
    <row r="16" spans="1:4">
      <c r="A16" s="22" t="s">
        <v>103</v>
      </c>
      <c r="B16" s="17" t="s">
        <v>104</v>
      </c>
      <c r="C16" s="111">
        <v>214139.88</v>
      </c>
      <c r="D16" s="113">
        <v>314857.08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57193.01</f>
        <v>57193.01</v>
      </c>
      <c r="D18" s="19">
        <f>48161.61</f>
        <v>48161.61</v>
      </c>
    </row>
    <row r="19" spans="1:4">
      <c r="A19" s="22" t="s">
        <v>109</v>
      </c>
      <c r="B19" s="17" t="s">
        <v>110</v>
      </c>
      <c r="C19" s="18">
        <f>8379.6</f>
        <v>8379.6</v>
      </c>
      <c r="D19" s="19">
        <f>8385.24</f>
        <v>8385.24</v>
      </c>
    </row>
    <row r="20" spans="1:4">
      <c r="A20" s="22" t="s">
        <v>111</v>
      </c>
      <c r="B20" s="17" t="s">
        <v>112</v>
      </c>
      <c r="C20" s="18">
        <f>5798.38</f>
        <v>5798.38</v>
      </c>
      <c r="D20" s="19">
        <f>5795.83</f>
        <v>5795.83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1258137.5100000193</v>
      </c>
      <c r="D25" s="15">
        <f>D26+D27+D30+D28+D29+D31</f>
        <v>1270626.31</v>
      </c>
    </row>
    <row r="26" spans="1:4" ht="20.25" customHeight="1">
      <c r="A26" s="24" t="s">
        <v>123</v>
      </c>
      <c r="B26" s="20" t="s">
        <v>124</v>
      </c>
      <c r="C26" s="18">
        <f>589527.36</f>
        <v>589527.36</v>
      </c>
      <c r="D26" s="19">
        <f>589527.36</f>
        <v>589527.36</v>
      </c>
    </row>
    <row r="27" spans="1:4" ht="34.5" customHeight="1">
      <c r="A27" s="24" t="s">
        <v>125</v>
      </c>
      <c r="B27" s="20" t="s">
        <v>126</v>
      </c>
      <c r="C27" s="18">
        <f>36909.72</f>
        <v>36909.72</v>
      </c>
      <c r="D27" s="19">
        <f>36825.85</f>
        <v>36825.85</v>
      </c>
    </row>
    <row r="28" spans="1:4" ht="34.5" customHeight="1">
      <c r="A28" s="21" t="s">
        <v>127</v>
      </c>
      <c r="B28" s="20" t="s">
        <v>128</v>
      </c>
      <c r="C28" s="18">
        <f>272304</f>
        <v>272304</v>
      </c>
      <c r="D28" s="19">
        <f>272304.12</f>
        <v>272304.12</v>
      </c>
    </row>
    <row r="29" spans="1:4">
      <c r="A29" s="21" t="s">
        <v>129</v>
      </c>
      <c r="B29" s="20" t="s">
        <v>130</v>
      </c>
      <c r="C29" s="18">
        <f>47361.84</f>
        <v>47361.84</v>
      </c>
      <c r="D29" s="19">
        <f>46947.82</f>
        <v>46947.82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312034.59000001935</v>
      </c>
      <c r="D31" s="15">
        <f>SUM(D32:D39)</f>
        <v>325021.16000000003</v>
      </c>
    </row>
    <row r="32" spans="1:4" ht="20.2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50090.52</f>
        <v>50090.52</v>
      </c>
      <c r="D33" s="19">
        <f>64740.26</f>
        <v>64740.26</v>
      </c>
    </row>
    <row r="34" spans="1:4">
      <c r="A34" s="24" t="s">
        <v>139</v>
      </c>
      <c r="B34" s="17" t="s">
        <v>140</v>
      </c>
      <c r="C34" s="18">
        <f>87165.36</f>
        <v>87165.36</v>
      </c>
      <c r="D34" s="19">
        <f>85649.49</f>
        <v>85649.49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147.300000019372</f>
        <v>147.30000001937199</v>
      </c>
      <c r="D39" s="19">
        <f>0</f>
        <v>0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28326.48</v>
      </c>
      <c r="D45" s="27">
        <f>SUM(D46:D48)</f>
        <v>24347.05</v>
      </c>
    </row>
    <row r="46" spans="1:4">
      <c r="A46" s="21" t="s">
        <v>163</v>
      </c>
      <c r="B46" s="17" t="s">
        <v>164</v>
      </c>
      <c r="C46" s="18">
        <f>27446.16</f>
        <v>27446.16</v>
      </c>
      <c r="D46" s="19">
        <f>23466.73</f>
        <v>23466.73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320156.4</f>
        <v>320156.40000000002</v>
      </c>
      <c r="D49" s="30">
        <f>281070.67</f>
        <v>281070.67</v>
      </c>
    </row>
    <row r="50" spans="1:4">
      <c r="A50" s="8" t="s">
        <v>169</v>
      </c>
      <c r="B50" s="9" t="s">
        <v>170</v>
      </c>
      <c r="C50" s="14">
        <f>C8+C25+C40+C41+C42+C43+C44+C45+C49+C51+C52</f>
        <v>4368832.8600000199</v>
      </c>
      <c r="D50" s="15">
        <f>D8+D25+D40+D41+D42+D43+D44+D45+D49+D51+D52</f>
        <v>4368832.8600000003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2628705.7800000003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2492564.22</f>
        <v>2492564.2200000002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136141.56</f>
        <v>136141.56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1350210</f>
        <v>1350210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3978915.7800000003</v>
      </c>
      <c r="D59" s="27">
        <f>D54+D57+D58</f>
        <v>0</v>
      </c>
    </row>
    <row r="60" spans="1:4" ht="25.5">
      <c r="A60" s="33" t="s">
        <v>188</v>
      </c>
      <c r="B60" s="9"/>
      <c r="C60" s="34">
        <v>16216.9</v>
      </c>
      <c r="D60" s="35">
        <v>16216.9</v>
      </c>
    </row>
    <row r="61" spans="1:4" ht="15.75" thickBot="1">
      <c r="A61" s="36" t="s">
        <v>189</v>
      </c>
      <c r="B61" s="37"/>
      <c r="C61" s="38">
        <f>(C50+C51+C52)/C60/12</f>
        <v>22.450000000000102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A39" sqref="A39"/>
    </sheetView>
  </sheetViews>
  <sheetFormatPr defaultColWidth="11.7109375" defaultRowHeight="15"/>
  <cols>
    <col min="1" max="1" width="56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293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4626875.5</v>
      </c>
      <c r="D8" s="11">
        <f>D9+D11+D14+D15</f>
        <v>4557276.18</v>
      </c>
    </row>
    <row r="9" spans="1:4" ht="30">
      <c r="A9" s="12" t="s">
        <v>90</v>
      </c>
      <c r="B9" s="13" t="s">
        <v>91</v>
      </c>
      <c r="C9" s="14">
        <f>4155338.96</f>
        <v>4155338.96</v>
      </c>
      <c r="D9" s="15">
        <f>4065377.45</f>
        <v>4065377.45</v>
      </c>
    </row>
    <row r="10" spans="1:4">
      <c r="A10" s="16" t="s">
        <v>92</v>
      </c>
      <c r="B10" s="17" t="s">
        <v>93</v>
      </c>
      <c r="C10" s="18">
        <f>2551531.58218126</f>
        <v>2551531.58218126</v>
      </c>
      <c r="D10" s="19">
        <f>_57h_E12</f>
        <v>2551531.58218126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471536.5400000001</v>
      </c>
      <c r="D15" s="15">
        <f>SUM(D16:D24)</f>
        <v>491898.73</v>
      </c>
    </row>
    <row r="16" spans="1:4">
      <c r="A16" s="22" t="s">
        <v>103</v>
      </c>
      <c r="B16" s="17" t="s">
        <v>104</v>
      </c>
      <c r="C16" s="111">
        <v>314882.28000000003</v>
      </c>
      <c r="D16" s="113">
        <v>301207.87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134222.04</f>
        <v>134222.04</v>
      </c>
      <c r="D18" s="19">
        <f>168257.84</f>
        <v>168257.84</v>
      </c>
    </row>
    <row r="19" spans="1:4">
      <c r="A19" s="22" t="s">
        <v>109</v>
      </c>
      <c r="B19" s="17" t="s">
        <v>110</v>
      </c>
      <c r="C19" s="18">
        <f>9571.84</f>
        <v>9571.84</v>
      </c>
      <c r="D19" s="19">
        <f>9578.28</f>
        <v>9578.2800000000007</v>
      </c>
    </row>
    <row r="20" spans="1:4">
      <c r="A20" s="22" t="s">
        <v>111</v>
      </c>
      <c r="B20" s="17" t="s">
        <v>112</v>
      </c>
      <c r="C20" s="18">
        <f>12860.38</f>
        <v>12860.38</v>
      </c>
      <c r="D20" s="19">
        <f>12854.74</f>
        <v>12854.74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960699.74000000011</v>
      </c>
      <c r="D25" s="15">
        <f>D26+D27+D30+D28+D29+D31</f>
        <v>993640.01</v>
      </c>
    </row>
    <row r="26" spans="1:4" ht="18" customHeight="1">
      <c r="A26" s="24" t="s">
        <v>123</v>
      </c>
      <c r="B26" s="20" t="s">
        <v>124</v>
      </c>
      <c r="C26" s="18">
        <f>523523.52</f>
        <v>523523.52</v>
      </c>
      <c r="D26" s="19">
        <f>521705.73</f>
        <v>521705.73</v>
      </c>
    </row>
    <row r="27" spans="1:4" ht="45">
      <c r="A27" s="24" t="s">
        <v>125</v>
      </c>
      <c r="B27" s="20" t="s">
        <v>126</v>
      </c>
      <c r="C27" s="18">
        <f>61660.92</f>
        <v>61660.92</v>
      </c>
      <c r="D27" s="19">
        <f>61706.84</f>
        <v>61706.84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65825.16</f>
        <v>65825.16</v>
      </c>
      <c r="D29" s="19">
        <f>65249.69</f>
        <v>65249.69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309690.14</v>
      </c>
      <c r="D31" s="15">
        <f>SUM(D32:D39)</f>
        <v>344977.75</v>
      </c>
    </row>
    <row r="32" spans="1:4" ht="19.5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83680.68</f>
        <v>83680.679999999993</v>
      </c>
      <c r="D33" s="19">
        <f>79585.72</f>
        <v>79585.72</v>
      </c>
    </row>
    <row r="34" spans="1:4">
      <c r="A34" s="24" t="s">
        <v>139</v>
      </c>
      <c r="B34" s="17" t="s">
        <v>140</v>
      </c>
      <c r="C34" s="18">
        <f>133824.48</f>
        <v>133824.48000000001</v>
      </c>
      <c r="D34" s="19">
        <f>135998.25</f>
        <v>135998.25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290.75</v>
      </c>
      <c r="D39" s="19">
        <f>37499.51</f>
        <v>37499.51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39466.44</v>
      </c>
      <c r="D45" s="27">
        <f>SUM(D46:D48)</f>
        <v>43581.130000000005</v>
      </c>
    </row>
    <row r="46" spans="1:4">
      <c r="A46" s="21" t="s">
        <v>163</v>
      </c>
      <c r="B46" s="17" t="s">
        <v>164</v>
      </c>
      <c r="C46" s="18">
        <f>38145.72</f>
        <v>38145.72</v>
      </c>
      <c r="D46" s="19">
        <f>42260.41</f>
        <v>42260.41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444964.92</f>
        <v>444964.92</v>
      </c>
      <c r="D49" s="30">
        <f>477509.28</f>
        <v>477509.28</v>
      </c>
    </row>
    <row r="50" spans="1:4">
      <c r="A50" s="8" t="s">
        <v>169</v>
      </c>
      <c r="B50" s="9" t="s">
        <v>170</v>
      </c>
      <c r="C50" s="14">
        <f>C8+C25+C40+C41+C42+C43+C44+C45+C49+C51+C52</f>
        <v>6072006.6000000006</v>
      </c>
      <c r="D50" s="15">
        <f>D8+D25+D40+D41+D42+D43+D44+D45+D49+D51+D52</f>
        <v>6072006.5999999996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3659007.9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3613029.06</f>
        <v>3613029.06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45978.84</f>
        <v>45978.84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2018346</f>
        <v>2018346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5677353.9000000004</v>
      </c>
      <c r="D59" s="27">
        <f>D54+D57+D58</f>
        <v>0</v>
      </c>
    </row>
    <row r="60" spans="1:4" ht="25.5">
      <c r="A60" s="33" t="s">
        <v>188</v>
      </c>
      <c r="B60" s="9"/>
      <c r="C60" s="34">
        <v>22539</v>
      </c>
      <c r="D60" s="35">
        <v>22539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E43" sqref="E43"/>
    </sheetView>
  </sheetViews>
  <sheetFormatPr defaultColWidth="11.7109375" defaultRowHeight="15"/>
  <cols>
    <col min="1" max="1" width="58" customWidth="1"/>
    <col min="2" max="2" width="9" customWidth="1"/>
    <col min="3" max="3" width="19.85546875" customWidth="1"/>
    <col min="4" max="4" width="17.5703125" customWidth="1"/>
    <col min="5" max="8" width="9.140625" customWidth="1"/>
    <col min="9" max="9" width="13.85546875" customWidth="1"/>
    <col min="10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0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295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4311713.12</v>
      </c>
      <c r="D8" s="11">
        <f>D9+D11+D14+D15</f>
        <v>4146572.83</v>
      </c>
    </row>
    <row r="9" spans="1:4" ht="30">
      <c r="A9" s="12" t="s">
        <v>90</v>
      </c>
      <c r="B9" s="13" t="s">
        <v>91</v>
      </c>
      <c r="C9" s="14">
        <f>3741880.86</f>
        <v>3741880.86</v>
      </c>
      <c r="D9" s="15">
        <f>3620113.72</f>
        <v>3620113.72</v>
      </c>
    </row>
    <row r="10" spans="1:4">
      <c r="A10" s="16" t="s">
        <v>92</v>
      </c>
      <c r="B10" s="17" t="s">
        <v>93</v>
      </c>
      <c r="C10" s="18">
        <f>2178891.01382489</f>
        <v>2178891.0138248899</v>
      </c>
      <c r="D10" s="19">
        <f>_58h_E12</f>
        <v>2178891.0138248899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569832.26</v>
      </c>
      <c r="D15" s="15">
        <f>SUM(D16:D24)</f>
        <v>526459.11</v>
      </c>
    </row>
    <row r="16" spans="1:4">
      <c r="A16" s="22" t="s">
        <v>103</v>
      </c>
      <c r="B16" s="17" t="s">
        <v>104</v>
      </c>
      <c r="C16" s="111">
        <v>410085.96</v>
      </c>
      <c r="D16" s="113">
        <v>344345.64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88187.52</f>
        <v>88187.520000000004</v>
      </c>
      <c r="D18" s="19">
        <f>110549.87</f>
        <v>110549.87</v>
      </c>
    </row>
    <row r="19" spans="1:4">
      <c r="A19" s="22" t="s">
        <v>109</v>
      </c>
      <c r="B19" s="17" t="s">
        <v>110</v>
      </c>
      <c r="C19" s="18">
        <f>13102.62</f>
        <v>13102.62</v>
      </c>
      <c r="D19" s="19">
        <f>13111.42</f>
        <v>13111.42</v>
      </c>
    </row>
    <row r="20" spans="1:4">
      <c r="A20" s="22" t="s">
        <v>111</v>
      </c>
      <c r="B20" s="17" t="s">
        <v>112</v>
      </c>
      <c r="C20" s="18">
        <f>9093.8</f>
        <v>9093.7999999999993</v>
      </c>
      <c r="D20" s="19">
        <f>9089.82</f>
        <v>9089.82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49362.36</f>
        <v>49362.36</v>
      </c>
      <c r="D22" s="19">
        <f>49362.36</f>
        <v>49362.36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1743390.1999999997</v>
      </c>
      <c r="D25" s="15">
        <f>D26+D27+D30+D28+D29+D31</f>
        <v>1548072.4899999998</v>
      </c>
    </row>
    <row r="26" spans="1:4" ht="19.5" customHeight="1">
      <c r="A26" s="24" t="s">
        <v>123</v>
      </c>
      <c r="B26" s="20" t="s">
        <v>124</v>
      </c>
      <c r="C26" s="18">
        <f>694395.12</f>
        <v>694395.12</v>
      </c>
      <c r="D26" s="19">
        <f>689198.97</f>
        <v>689198.97</v>
      </c>
    </row>
    <row r="27" spans="1:4" ht="45">
      <c r="A27" s="24" t="s">
        <v>125</v>
      </c>
      <c r="B27" s="20" t="s">
        <v>126</v>
      </c>
      <c r="C27" s="18">
        <f>55581.72</f>
        <v>55581.72</v>
      </c>
      <c r="D27" s="19">
        <f>55566.46</f>
        <v>55566.46</v>
      </c>
    </row>
    <row r="28" spans="1:4" ht="30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71490.96</f>
        <v>71490.960000000006</v>
      </c>
      <c r="D29" s="19">
        <f>70865.93</f>
        <v>70865.929999999993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513466.39999999997</v>
      </c>
      <c r="D31" s="15">
        <f>SUM(D32:D39)</f>
        <v>323985.13</v>
      </c>
    </row>
    <row r="32" spans="1:4" ht="16.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75430.56</f>
        <v>75430.559999999998</v>
      </c>
      <c r="D33" s="19">
        <f>76815.55</f>
        <v>76815.55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129630.16</f>
        <v>129630.16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v>261340.68</v>
      </c>
      <c r="D39" s="19">
        <v>71592.3</v>
      </c>
    </row>
    <row r="40" spans="1:4" ht="18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220005.99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56274.559999999998</v>
      </c>
      <c r="D45" s="27">
        <f>SUM(D46:D48)</f>
        <v>60743.42</v>
      </c>
    </row>
    <row r="46" spans="1:4">
      <c r="A46" s="21" t="s">
        <v>163</v>
      </c>
      <c r="B46" s="17" t="s">
        <v>164</v>
      </c>
      <c r="C46" s="18">
        <f>41429.04</f>
        <v>41429.040000000001</v>
      </c>
      <c r="D46" s="19">
        <f>45897.9</f>
        <v>45897.9</v>
      </c>
    </row>
    <row r="47" spans="1:4" ht="14.25" customHeight="1">
      <c r="A47" s="88" t="s">
        <v>503</v>
      </c>
      <c r="B47" s="17" t="s">
        <v>165</v>
      </c>
      <c r="C47" s="18">
        <f>0</f>
        <v>0</v>
      </c>
      <c r="D47" s="19">
        <v>0</v>
      </c>
    </row>
    <row r="48" spans="1:4">
      <c r="A48" s="21" t="s">
        <v>166</v>
      </c>
      <c r="B48" s="17" t="s">
        <v>167</v>
      </c>
      <c r="C48" s="18">
        <v>14845.52</v>
      </c>
      <c r="D48" s="19">
        <v>14845.52</v>
      </c>
    </row>
    <row r="49" spans="1:4">
      <c r="A49" s="8" t="s">
        <v>440</v>
      </c>
      <c r="B49" s="28" t="s">
        <v>168</v>
      </c>
      <c r="C49" s="29">
        <f>483264.72</f>
        <v>483264.72</v>
      </c>
      <c r="D49" s="30">
        <f>619247.87</f>
        <v>619247.87</v>
      </c>
    </row>
    <row r="50" spans="1:4">
      <c r="A50" s="8" t="s">
        <v>169</v>
      </c>
      <c r="B50" s="9" t="s">
        <v>170</v>
      </c>
      <c r="C50" s="14">
        <f>C8+C25+C40+C41+C42+C43+C44+C45+C49+C51+C52</f>
        <v>6594642.5999999996</v>
      </c>
      <c r="D50" s="15">
        <f>D8+D25+D40+D41+D42+D43+D44+D45+D49+D51+D52</f>
        <v>6594642.6000000006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3863642.4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3670485.6</f>
        <v>3670485.6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193156.8</f>
        <v>193156.8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1976904</f>
        <v>1976904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5840546.4000000004</v>
      </c>
      <c r="D59" s="27">
        <f>D54+D57+D58</f>
        <v>0</v>
      </c>
    </row>
    <row r="60" spans="1:4" ht="25.5">
      <c r="A60" s="33" t="s">
        <v>188</v>
      </c>
      <c r="B60" s="9"/>
      <c r="C60" s="34">
        <v>24479</v>
      </c>
      <c r="D60" s="35">
        <v>24479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I39" sqref="I39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297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6255946.6399999997</v>
      </c>
      <c r="D8" s="11">
        <f>D9+D11+D14+D15</f>
        <v>5900182</v>
      </c>
    </row>
    <row r="9" spans="1:4" ht="30">
      <c r="A9" s="12" t="s">
        <v>90</v>
      </c>
      <c r="B9" s="13" t="s">
        <v>91</v>
      </c>
      <c r="C9" s="14">
        <f>5559329.93</f>
        <v>5559329.9299999997</v>
      </c>
      <c r="D9" s="15">
        <v>5374201.8200000003</v>
      </c>
    </row>
    <row r="10" spans="1:4">
      <c r="A10" s="16" t="s">
        <v>92</v>
      </c>
      <c r="B10" s="17" t="s">
        <v>93</v>
      </c>
      <c r="C10" s="18">
        <f>3352910.08448541</f>
        <v>3352910.0844854098</v>
      </c>
      <c r="D10" s="19">
        <f>_59h_E12</f>
        <v>3352910.0844854098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696616.71</v>
      </c>
      <c r="D15" s="15">
        <f>SUM(D16:D24)</f>
        <v>525980.18000000005</v>
      </c>
    </row>
    <row r="16" spans="1:4">
      <c r="A16" s="22" t="s">
        <v>103</v>
      </c>
      <c r="B16" s="17" t="s">
        <v>104</v>
      </c>
      <c r="C16" s="111">
        <v>442203.6</v>
      </c>
      <c r="D16" s="113">
        <v>234577.36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145866.6</f>
        <v>145866.6</v>
      </c>
      <c r="D18" s="19">
        <f>182855.04</f>
        <v>182855.04000000001</v>
      </c>
    </row>
    <row r="19" spans="1:4">
      <c r="A19" s="22" t="s">
        <v>109</v>
      </c>
      <c r="B19" s="17" t="s">
        <v>110</v>
      </c>
      <c r="C19" s="18">
        <f>12879.42</f>
        <v>12879.42</v>
      </c>
      <c r="D19" s="19">
        <f>12888.08</f>
        <v>12888.08</v>
      </c>
    </row>
    <row r="20" spans="1:4">
      <c r="A20" s="22" t="s">
        <v>111</v>
      </c>
      <c r="B20" s="17" t="s">
        <v>112</v>
      </c>
      <c r="C20" s="18">
        <f>16995.82</f>
        <v>16995.82</v>
      </c>
      <c r="D20" s="19">
        <f>16988.43</f>
        <v>16988.43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78671.27</f>
        <v>78671.27</v>
      </c>
      <c r="D22" s="19">
        <f>78671.27</f>
        <v>78671.27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1749733.840000028</v>
      </c>
      <c r="D25" s="15">
        <f>D26+D27+D30+D28+D29+D31</f>
        <v>1665307.52</v>
      </c>
    </row>
    <row r="26" spans="1:4" ht="19.5" customHeight="1">
      <c r="A26" s="24" t="s">
        <v>123</v>
      </c>
      <c r="B26" s="20" t="s">
        <v>124</v>
      </c>
      <c r="C26" s="18">
        <f>570506.4</f>
        <v>570506.4</v>
      </c>
      <c r="D26" s="19">
        <f>570506.4</f>
        <v>570506.4</v>
      </c>
    </row>
    <row r="27" spans="1:4" ht="45">
      <c r="A27" s="24" t="s">
        <v>125</v>
      </c>
      <c r="B27" s="20" t="s">
        <v>126</v>
      </c>
      <c r="C27" s="18">
        <f>86846.52</f>
        <v>86846.52</v>
      </c>
      <c r="D27" s="19">
        <f>86846.68</f>
        <v>86846.68</v>
      </c>
    </row>
    <row r="28" spans="1:4" ht="31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94311.72</f>
        <v>94311.72</v>
      </c>
      <c r="D29" s="19">
        <f>93487.17</f>
        <v>93487.17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998069.20000002801</v>
      </c>
      <c r="D31" s="15">
        <f>SUM(D32:D39)</f>
        <v>914467.27</v>
      </c>
    </row>
    <row r="32" spans="1:4" ht="20.25" customHeight="1">
      <c r="A32" s="24" t="s">
        <v>135</v>
      </c>
      <c r="B32" s="17" t="s">
        <v>136</v>
      </c>
      <c r="C32" s="18">
        <f>130183.5</f>
        <v>130183.5</v>
      </c>
      <c r="D32" s="19">
        <f>130183.54</f>
        <v>130183.54</v>
      </c>
    </row>
    <row r="33" spans="1:4">
      <c r="A33" s="24" t="s">
        <v>137</v>
      </c>
      <c r="B33" s="17" t="s">
        <v>138</v>
      </c>
      <c r="C33" s="18">
        <f>117860.16</f>
        <v>117860.16</v>
      </c>
      <c r="D33" s="19">
        <f>113050.41</f>
        <v>113050.41</v>
      </c>
    </row>
    <row r="34" spans="1:4">
      <c r="A34" s="24" t="s">
        <v>139</v>
      </c>
      <c r="B34" s="17" t="s">
        <v>140</v>
      </c>
      <c r="C34" s="18">
        <f>189610.32</f>
        <v>189610.32</v>
      </c>
      <c r="D34" s="19">
        <f>193716.02</f>
        <v>193716.02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45">
      <c r="A39" s="24" t="s">
        <v>499</v>
      </c>
      <c r="B39" s="17" t="s">
        <v>150</v>
      </c>
      <c r="C39" s="18">
        <f>560415.220000028</f>
        <v>560415.22000002803</v>
      </c>
      <c r="D39" s="35">
        <v>477517.3</v>
      </c>
    </row>
    <row r="40" spans="1:4" ht="24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254904.9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56524.68</v>
      </c>
      <c r="D45" s="27">
        <f>SUM(D46:D48)</f>
        <v>62420.049999999996</v>
      </c>
    </row>
    <row r="46" spans="1:4">
      <c r="A46" s="21" t="s">
        <v>163</v>
      </c>
      <c r="B46" s="17" t="s">
        <v>164</v>
      </c>
      <c r="C46" s="18">
        <f>54653.76</f>
        <v>54653.760000000002</v>
      </c>
      <c r="D46" s="19">
        <f>60549.13</f>
        <v>60549.13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1870.92</f>
        <v>1870.92</v>
      </c>
      <c r="D48" s="19">
        <f>1870.92</f>
        <v>1870.92</v>
      </c>
    </row>
    <row r="49" spans="1:4">
      <c r="A49" s="8" t="s">
        <v>440</v>
      </c>
      <c r="B49" s="28" t="s">
        <v>168</v>
      </c>
      <c r="C49" s="29">
        <f>637529.04</f>
        <v>637529.04</v>
      </c>
      <c r="D49" s="30">
        <f>816919.73</f>
        <v>816919.73</v>
      </c>
    </row>
    <row r="50" spans="1:4">
      <c r="A50" s="8" t="s">
        <v>169</v>
      </c>
      <c r="B50" s="9" t="s">
        <v>170</v>
      </c>
      <c r="C50" s="14">
        <f>C8+C25+C40+C41+C42+C43+C44+C45+C49+C51+C52</f>
        <v>8699734.2000000272</v>
      </c>
      <c r="D50" s="15">
        <f>D8+D25+D40+D41+D42+D43+D44+D45+D49+D51+D52</f>
        <v>8699734.1999999993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5101911.4799999995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4970702.76</f>
        <v>4970702.76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131208.72</f>
        <v>131208.72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2744754</f>
        <v>2744754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7846665.4799999995</v>
      </c>
      <c r="D59" s="27">
        <f>D54+D57+D58</f>
        <v>0</v>
      </c>
    </row>
    <row r="60" spans="1:4" ht="25.5">
      <c r="A60" s="33" t="s">
        <v>188</v>
      </c>
      <c r="B60" s="9"/>
      <c r="C60" s="34">
        <v>32293</v>
      </c>
      <c r="D60" s="35">
        <v>32293</v>
      </c>
    </row>
    <row r="61" spans="1:4" ht="15.75" thickBot="1">
      <c r="A61" s="36" t="s">
        <v>189</v>
      </c>
      <c r="B61" s="37"/>
      <c r="C61" s="38">
        <f>(C50+C51+C52)/C60/12</f>
        <v>22.45000000000007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D47" sqref="D47"/>
    </sheetView>
  </sheetViews>
  <sheetFormatPr defaultColWidth="11.7109375" defaultRowHeight="15"/>
  <cols>
    <col min="1" max="1" width="56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2538069.9400000004</v>
      </c>
      <c r="D8" s="11">
        <f>D9+D11+D14+D15</f>
        <v>2436357.5700000003</v>
      </c>
    </row>
    <row r="9" spans="1:4" ht="30">
      <c r="A9" s="12" t="s">
        <v>90</v>
      </c>
      <c r="B9" s="13" t="s">
        <v>91</v>
      </c>
      <c r="C9" s="14">
        <f>2215823.41</f>
        <v>2215823.41</v>
      </c>
      <c r="D9" s="15">
        <v>2215823.41</v>
      </c>
    </row>
    <row r="10" spans="1:4">
      <c r="A10" s="16" t="s">
        <v>92</v>
      </c>
      <c r="B10" s="17" t="s">
        <v>93</v>
      </c>
      <c r="C10" s="18">
        <f>1438668.85560676</f>
        <v>1438668.8556067599</v>
      </c>
      <c r="D10" s="19">
        <f>_6h_E12</f>
        <v>1438668.8556067599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322246.53000000009</v>
      </c>
      <c r="D15" s="15">
        <f>SUM(D16:D24)</f>
        <v>220534.16</v>
      </c>
    </row>
    <row r="16" spans="1:4">
      <c r="A16" s="22" t="s">
        <v>103</v>
      </c>
      <c r="B16" s="17" t="s">
        <v>104</v>
      </c>
      <c r="C16" s="111">
        <v>208483.92</v>
      </c>
      <c r="D16" s="113">
        <v>90826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62880.24</f>
        <v>62880.24</v>
      </c>
      <c r="D18" s="19">
        <f>78825.27</f>
        <v>78825.27</v>
      </c>
    </row>
    <row r="19" spans="1:4">
      <c r="A19" s="22" t="s">
        <v>109</v>
      </c>
      <c r="B19" s="17" t="s">
        <v>110</v>
      </c>
      <c r="C19" s="18">
        <f>5951.7</f>
        <v>5951.7</v>
      </c>
      <c r="D19" s="19">
        <f>5955.68</f>
        <v>5955.68</v>
      </c>
    </row>
    <row r="20" spans="1:4">
      <c r="A20" s="22" t="s">
        <v>111</v>
      </c>
      <c r="B20" s="17" t="s">
        <v>112</v>
      </c>
      <c r="C20" s="18">
        <f>7908.9</f>
        <v>7908.9</v>
      </c>
      <c r="D20" s="19">
        <f>7905.44</f>
        <v>7905.44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37021.77</f>
        <v>37021.769999999997</v>
      </c>
      <c r="D22" s="19">
        <f>37021.77</f>
        <v>37021.769999999997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5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1018537.760000003</v>
      </c>
      <c r="D25" s="15">
        <f>D26+D27+D30+D28+D29+D31</f>
        <v>636104.29</v>
      </c>
    </row>
    <row r="26" spans="1:4" ht="20.25" customHeight="1">
      <c r="A26" s="24" t="s">
        <v>123</v>
      </c>
      <c r="B26" s="20" t="s">
        <v>124</v>
      </c>
      <c r="C26" s="18">
        <f>335592</f>
        <v>335592</v>
      </c>
      <c r="D26" s="19">
        <f>335242.43</f>
        <v>335242.43</v>
      </c>
    </row>
    <row r="27" spans="1:4" ht="45">
      <c r="A27" s="24" t="s">
        <v>125</v>
      </c>
      <c r="B27" s="20" t="s">
        <v>126</v>
      </c>
      <c r="C27" s="18">
        <f>41541.6</f>
        <v>41541.599999999999</v>
      </c>
      <c r="D27" s="19">
        <f>41594.98</f>
        <v>41594.980000000003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41899.56</f>
        <v>41899.56</v>
      </c>
      <c r="D29" s="19">
        <f>41533.21</f>
        <v>41533.21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599504.600000003</v>
      </c>
      <c r="D31" s="15">
        <f>SUM(D32:D39)</f>
        <v>217733.67</v>
      </c>
    </row>
    <row r="32" spans="1:4" ht="21" customHeight="1">
      <c r="A32" s="24" t="s">
        <v>135</v>
      </c>
      <c r="B32" s="17" t="s">
        <v>136</v>
      </c>
      <c r="C32" s="18">
        <f>81262.82</f>
        <v>81262.820000000007</v>
      </c>
      <c r="D32" s="19">
        <f>81262.85</f>
        <v>81262.850000000006</v>
      </c>
    </row>
    <row r="33" spans="1:4">
      <c r="A33" s="24" t="s">
        <v>137</v>
      </c>
      <c r="B33" s="17" t="s">
        <v>138</v>
      </c>
      <c r="C33" s="18">
        <f>56376.36</f>
        <v>56376.36</v>
      </c>
      <c r="D33" s="19">
        <f>47822.77</f>
        <v>47822.77</v>
      </c>
    </row>
    <row r="34" spans="1:4">
      <c r="A34" s="24" t="s">
        <v>139</v>
      </c>
      <c r="B34" s="17" t="s">
        <v>140</v>
      </c>
      <c r="C34" s="18">
        <f>50248.2</f>
        <v>50248.2</v>
      </c>
      <c r="D34" s="19">
        <f>51249.83</f>
        <v>51249.83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495</v>
      </c>
      <c r="B39" s="17" t="s">
        <v>150</v>
      </c>
      <c r="C39" s="18">
        <f>411617.220000003</f>
        <v>411617.220000003</v>
      </c>
      <c r="D39" s="19">
        <v>37398.22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401830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25161.119999999999</v>
      </c>
      <c r="D45" s="27">
        <f>SUM(D46:D48)</f>
        <v>27780.21</v>
      </c>
    </row>
    <row r="46" spans="1:4">
      <c r="A46" s="21" t="s">
        <v>163</v>
      </c>
      <c r="B46" s="17" t="s">
        <v>164</v>
      </c>
      <c r="C46" s="18">
        <f>24280.8</f>
        <v>24280.799999999999</v>
      </c>
      <c r="D46" s="19">
        <f>26899.89</f>
        <v>26899.89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283232.16</f>
        <v>283232.15999999997</v>
      </c>
      <c r="D49" s="30">
        <f>362928.91</f>
        <v>362928.91</v>
      </c>
    </row>
    <row r="50" spans="1:4">
      <c r="A50" s="8" t="s">
        <v>169</v>
      </c>
      <c r="B50" s="9" t="s">
        <v>170</v>
      </c>
      <c r="C50" s="14">
        <f>C8+C25+C40+C41+C42+C43+C44+C45+C49+C51+C52</f>
        <v>3865000.9800000037</v>
      </c>
      <c r="D50" s="15">
        <f>D8+D25+D40+D41+D42+D43+D44+D45+D49+D51+D52</f>
        <v>3865000.9800000004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2277986.2199999997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2229006.3</f>
        <v>2229006.2999999998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48979.92</f>
        <v>48979.92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1237038</f>
        <v>1237038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3515024.2199999997</v>
      </c>
      <c r="D59" s="27">
        <f>D54+D57+D58</f>
        <v>0</v>
      </c>
    </row>
    <row r="60" spans="1:4" ht="25.5">
      <c r="A60" s="33" t="s">
        <v>188</v>
      </c>
      <c r="B60" s="9"/>
      <c r="C60" s="34">
        <v>14346.7</v>
      </c>
      <c r="D60" s="35">
        <v>14346.7</v>
      </c>
    </row>
    <row r="61" spans="1:4" ht="15.75" thickBot="1">
      <c r="A61" s="36" t="s">
        <v>189</v>
      </c>
      <c r="B61" s="37"/>
      <c r="C61" s="38">
        <f>(C50+C51+C52)/C60/12</f>
        <v>22.450000000000021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J261"/>
  <sheetViews>
    <sheetView workbookViewId="0">
      <selection activeCell="D39" sqref="D39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9" width="9.140625" customWidth="1"/>
    <col min="10" max="10" width="10.140625" customWidth="1"/>
    <col min="11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299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7410975.3700000001</v>
      </c>
      <c r="D8" s="11">
        <f>D9+D11+D14+D15</f>
        <v>6987947.3100000005</v>
      </c>
    </row>
    <row r="9" spans="1:4" ht="30">
      <c r="A9" s="12" t="s">
        <v>90</v>
      </c>
      <c r="B9" s="13" t="s">
        <v>91</v>
      </c>
      <c r="C9" s="14">
        <f>6274617.4</f>
        <v>6274617.4000000004</v>
      </c>
      <c r="D9" s="15">
        <v>6047454.9400000004</v>
      </c>
    </row>
    <row r="10" spans="1:4">
      <c r="A10" s="16" t="s">
        <v>92</v>
      </c>
      <c r="B10" s="17" t="s">
        <v>93</v>
      </c>
      <c r="C10" s="18">
        <f>3975483.07219662</f>
        <v>3975483.0721966201</v>
      </c>
      <c r="D10" s="19">
        <f>_60h_E12</f>
        <v>3975483.0721966201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1136357.97</v>
      </c>
      <c r="D15" s="15">
        <f>SUM(D16:D24)</f>
        <v>940492.37</v>
      </c>
    </row>
    <row r="16" spans="1:4">
      <c r="A16" s="22" t="s">
        <v>103</v>
      </c>
      <c r="B16" s="17" t="s">
        <v>104</v>
      </c>
      <c r="C16" s="111">
        <v>819575.28</v>
      </c>
      <c r="D16" s="113">
        <v>578483.25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178315.8</f>
        <v>178315.8</v>
      </c>
      <c r="D18" s="19">
        <f>223532.6</f>
        <v>223532.6</v>
      </c>
    </row>
    <row r="19" spans="1:4">
      <c r="A19" s="22" t="s">
        <v>109</v>
      </c>
      <c r="B19" s="17" t="s">
        <v>110</v>
      </c>
      <c r="C19" s="18">
        <f>26154.98</f>
        <v>26154.98</v>
      </c>
      <c r="D19" s="19">
        <f>26172.54</f>
        <v>26172.54</v>
      </c>
    </row>
    <row r="20" spans="1:4">
      <c r="A20" s="22" t="s">
        <v>111</v>
      </c>
      <c r="B20" s="17" t="s">
        <v>112</v>
      </c>
      <c r="C20" s="18">
        <f>18214.9</f>
        <v>18214.900000000001</v>
      </c>
      <c r="D20" s="19">
        <f>18206.97</f>
        <v>18206.97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94097.01</f>
        <v>94097.01</v>
      </c>
      <c r="D22" s="19">
        <f>94097.01</f>
        <v>94097.01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3980512.6399999997</v>
      </c>
      <c r="D25" s="15">
        <f>D26+D27+D30+D28+D29+D31</f>
        <v>3479939.5</v>
      </c>
    </row>
    <row r="26" spans="1:4" ht="19.5" customHeight="1">
      <c r="A26" s="24" t="s">
        <v>123</v>
      </c>
      <c r="B26" s="20" t="s">
        <v>124</v>
      </c>
      <c r="C26" s="18">
        <f>1907934</f>
        <v>1907934</v>
      </c>
      <c r="D26" s="19">
        <f>1885838.42</f>
        <v>1885838.42</v>
      </c>
    </row>
    <row r="27" spans="1:4" ht="45">
      <c r="A27" s="24" t="s">
        <v>125</v>
      </c>
      <c r="B27" s="20" t="s">
        <v>126</v>
      </c>
      <c r="C27" s="18">
        <f>104360.64</f>
        <v>104360.64</v>
      </c>
      <c r="D27" s="19">
        <f>104345.42</f>
        <v>104345.42</v>
      </c>
    </row>
    <row r="28" spans="1:4" ht="31.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134319.72</f>
        <v>134319.72</v>
      </c>
      <c r="D29" s="19">
        <f>133145.47</f>
        <v>133145.47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1016986.28</v>
      </c>
      <c r="D31" s="15">
        <f>SUM(D32:D39)</f>
        <v>539698.18999999994</v>
      </c>
    </row>
    <row r="32" spans="1:4" ht="19.5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10">
      <c r="A33" s="24" t="s">
        <v>137</v>
      </c>
      <c r="B33" s="17" t="s">
        <v>138</v>
      </c>
      <c r="C33" s="18">
        <f>141628.56</f>
        <v>141628.56</v>
      </c>
      <c r="D33" s="19">
        <f>126048.3</f>
        <v>126048.3</v>
      </c>
    </row>
    <row r="34" spans="1:10">
      <c r="A34" s="24" t="s">
        <v>139</v>
      </c>
      <c r="B34" s="17" t="s">
        <v>140</v>
      </c>
      <c r="C34" s="18">
        <f>261496.08</f>
        <v>261496.08</v>
      </c>
      <c r="D34" s="19">
        <f>256948.43</f>
        <v>256948.43</v>
      </c>
    </row>
    <row r="35" spans="1:10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10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10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10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10" ht="30">
      <c r="A39" s="24" t="s">
        <v>476</v>
      </c>
      <c r="B39" s="17" t="s">
        <v>150</v>
      </c>
      <c r="C39" s="18">
        <v>521967.41</v>
      </c>
      <c r="D39" s="19">
        <v>64807.19</v>
      </c>
      <c r="J39" s="87"/>
    </row>
    <row r="40" spans="1:10" ht="24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10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10">
      <c r="A42" s="8" t="s">
        <v>155</v>
      </c>
      <c r="B42" s="9" t="s">
        <v>156</v>
      </c>
      <c r="C42" s="26">
        <f>1250</f>
        <v>1250</v>
      </c>
      <c r="D42" s="27">
        <f>1250</f>
        <v>1250</v>
      </c>
    </row>
    <row r="43" spans="1:10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10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10">
      <c r="A45" s="8" t="s">
        <v>161</v>
      </c>
      <c r="B45" s="9" t="s">
        <v>162</v>
      </c>
      <c r="C45" s="26">
        <f>SUM(C46:C48)</f>
        <v>89532.19</v>
      </c>
      <c r="D45" s="27">
        <f>SUM(D46:D48)</f>
        <v>757643.53999999992</v>
      </c>
    </row>
    <row r="46" spans="1:10">
      <c r="A46" s="21" t="s">
        <v>163</v>
      </c>
      <c r="B46" s="17" t="s">
        <v>164</v>
      </c>
      <c r="C46" s="18">
        <f>77838.36</f>
        <v>77838.36</v>
      </c>
      <c r="D46" s="19">
        <f>86234.57</f>
        <v>86234.57</v>
      </c>
    </row>
    <row r="47" spans="1:10">
      <c r="A47" s="21" t="s">
        <v>149</v>
      </c>
      <c r="B47" s="17" t="s">
        <v>165</v>
      </c>
      <c r="C47" s="18">
        <f>0</f>
        <v>0</v>
      </c>
      <c r="D47" s="19">
        <v>659715.14</v>
      </c>
    </row>
    <row r="48" spans="1:10">
      <c r="A48" s="21" t="s">
        <v>166</v>
      </c>
      <c r="B48" s="17" t="s">
        <v>167</v>
      </c>
      <c r="C48" s="18">
        <v>11693.83</v>
      </c>
      <c r="D48" s="19">
        <v>11693.83</v>
      </c>
    </row>
    <row r="49" spans="1:4">
      <c r="A49" s="8" t="s">
        <v>440</v>
      </c>
      <c r="B49" s="28" t="s">
        <v>168</v>
      </c>
      <c r="C49" s="29">
        <f>907974.6</f>
        <v>907974.6</v>
      </c>
      <c r="D49" s="30">
        <f>1163464.45</f>
        <v>1163464.45</v>
      </c>
    </row>
    <row r="50" spans="1:4">
      <c r="A50" s="8" t="s">
        <v>169</v>
      </c>
      <c r="B50" s="9" t="s">
        <v>170</v>
      </c>
      <c r="C50" s="14">
        <f>C8+C25+C40+C41+C42+C43+C44+C45+C49+C51+C52</f>
        <v>12390244.799999999</v>
      </c>
      <c r="D50" s="15">
        <f>D8+D25+D40+D41+D42+D43+D44+D45+D49+D51+D52</f>
        <v>12390244.799999999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7464139.5600000005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7038500.16</f>
        <v>7038500.1600000001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425639.4</f>
        <v>425639.4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3804618</f>
        <v>3804618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11268757.560000001</v>
      </c>
      <c r="D59" s="27">
        <f>D54+D57+D58</f>
        <v>0</v>
      </c>
    </row>
    <row r="60" spans="1:4" ht="25.5">
      <c r="A60" s="33" t="s">
        <v>188</v>
      </c>
      <c r="B60" s="9"/>
      <c r="C60" s="34">
        <v>45992</v>
      </c>
      <c r="D60" s="35">
        <v>45992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H61" sqref="H61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8" width="9.140625" customWidth="1"/>
    <col min="9" max="9" width="10.85546875" customWidth="1"/>
    <col min="10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301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6697621.5699999994</v>
      </c>
      <c r="D8" s="11">
        <f>D9+D11+D14+D15</f>
        <v>6300693.8799999999</v>
      </c>
    </row>
    <row r="9" spans="1:4" ht="30">
      <c r="A9" s="12" t="s">
        <v>90</v>
      </c>
      <c r="B9" s="13" t="s">
        <v>91</v>
      </c>
      <c r="C9" s="14">
        <f>5944018.89</f>
        <v>5944018.8899999997</v>
      </c>
      <c r="D9" s="15">
        <v>5735115.5599999996</v>
      </c>
    </row>
    <row r="10" spans="1:4">
      <c r="A10" s="16" t="s">
        <v>92</v>
      </c>
      <c r="B10" s="17" t="s">
        <v>93</v>
      </c>
      <c r="C10" s="18">
        <f>3603450.85253456</f>
        <v>3603450.85253456</v>
      </c>
      <c r="D10" s="19">
        <f>_61h_E12</f>
        <v>3603450.85253456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753602.67999999993</v>
      </c>
      <c r="D15" s="15">
        <f>SUM(D16:D24)</f>
        <v>565578.32000000007</v>
      </c>
    </row>
    <row r="16" spans="1:4">
      <c r="A16" s="22" t="s">
        <v>103</v>
      </c>
      <c r="B16" s="17" t="s">
        <v>104</v>
      </c>
      <c r="C16" s="111">
        <v>477516.24</v>
      </c>
      <c r="D16" s="113">
        <v>249293.41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158520.24</f>
        <v>158520.24</v>
      </c>
      <c r="D18" s="19">
        <f>198717.34</f>
        <v>198717.34</v>
      </c>
    </row>
    <row r="19" spans="1:4">
      <c r="A19" s="22" t="s">
        <v>109</v>
      </c>
      <c r="B19" s="17" t="s">
        <v>110</v>
      </c>
      <c r="C19" s="18">
        <f>14706.86</f>
        <v>14706.86</v>
      </c>
      <c r="D19" s="19">
        <f>14716.74</f>
        <v>14716.74</v>
      </c>
    </row>
    <row r="20" spans="1:4">
      <c r="A20" s="22" t="s">
        <v>111</v>
      </c>
      <c r="B20" s="17" t="s">
        <v>112</v>
      </c>
      <c r="C20" s="18">
        <f>19560.34</f>
        <v>19560.34</v>
      </c>
      <c r="D20" s="19">
        <f>19551.83</f>
        <v>19551.830000000002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83299</f>
        <v>83299</v>
      </c>
      <c r="D22" s="19">
        <f>83299</f>
        <v>83299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1700230.31</v>
      </c>
      <c r="D25" s="15">
        <f>D26+D27+D30+D28+D29+D31</f>
        <v>1492174.1800000002</v>
      </c>
    </row>
    <row r="26" spans="1:4" ht="21.75" customHeight="1">
      <c r="A26" s="24" t="s">
        <v>123</v>
      </c>
      <c r="B26" s="20" t="s">
        <v>124</v>
      </c>
      <c r="C26" s="18">
        <f>785285.28</f>
        <v>785285.28</v>
      </c>
      <c r="D26" s="19">
        <f>785285.28</f>
        <v>785285.28</v>
      </c>
    </row>
    <row r="27" spans="1:4" ht="45">
      <c r="A27" s="24" t="s">
        <v>125</v>
      </c>
      <c r="B27" s="20" t="s">
        <v>126</v>
      </c>
      <c r="C27" s="18">
        <f>92202.12</f>
        <v>92202.12</v>
      </c>
      <c r="D27" s="19">
        <f>92202.3</f>
        <v>92202.3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98931.96</f>
        <v>98931.96</v>
      </c>
      <c r="D29" s="19">
        <f>98067.02</f>
        <v>98067.02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723810.95</v>
      </c>
      <c r="D31" s="15">
        <f>SUM(D32:D39)</f>
        <v>516619.58</v>
      </c>
    </row>
    <row r="32" spans="1:4" ht="18.75" customHeight="1">
      <c r="A32" s="24" t="s">
        <v>135</v>
      </c>
      <c r="B32" s="17" t="s">
        <v>136</v>
      </c>
      <c r="C32" s="18">
        <f>137841.35</f>
        <v>137841.35</v>
      </c>
      <c r="D32" s="19">
        <f>137841.4</f>
        <v>137841.4</v>
      </c>
    </row>
    <row r="33" spans="1:4">
      <c r="A33" s="24" t="s">
        <v>137</v>
      </c>
      <c r="B33" s="17" t="s">
        <v>138</v>
      </c>
      <c r="C33" s="18">
        <f>125128.2</f>
        <v>125128.2</v>
      </c>
      <c r="D33" s="19">
        <f>123659.37</f>
        <v>123659.37</v>
      </c>
    </row>
    <row r="34" spans="1:4">
      <c r="A34" s="24" t="s">
        <v>139</v>
      </c>
      <c r="B34" s="17" t="s">
        <v>140</v>
      </c>
      <c r="C34" s="18">
        <f>200736.72</f>
        <v>200736.72</v>
      </c>
      <c r="D34" s="19">
        <f>204767.91</f>
        <v>204767.91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479</v>
      </c>
      <c r="B39" s="17" t="s">
        <v>150</v>
      </c>
      <c r="C39" s="18">
        <f>260104.68</f>
        <v>260104.68</v>
      </c>
      <c r="D39" s="19">
        <v>50350.9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59312.159999999996</v>
      </c>
      <c r="D45" s="27">
        <f>SUM(D46:D48)</f>
        <v>476117.07</v>
      </c>
    </row>
    <row r="46" spans="1:4">
      <c r="A46" s="21" t="s">
        <v>163</v>
      </c>
      <c r="B46" s="17" t="s">
        <v>164</v>
      </c>
      <c r="C46" s="18">
        <f>57331.2</f>
        <v>57331.199999999997</v>
      </c>
      <c r="D46" s="19">
        <f>63515.36</f>
        <v>63515.360000000001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410620.75</v>
      </c>
    </row>
    <row r="48" spans="1:4">
      <c r="A48" s="21" t="s">
        <v>166</v>
      </c>
      <c r="B48" s="17" t="s">
        <v>167</v>
      </c>
      <c r="C48" s="18">
        <f>1980.96</f>
        <v>1980.96</v>
      </c>
      <c r="D48" s="19">
        <f>1980.96</f>
        <v>1980.96</v>
      </c>
    </row>
    <row r="49" spans="1:4">
      <c r="A49" s="8" t="s">
        <v>440</v>
      </c>
      <c r="B49" s="28" t="s">
        <v>168</v>
      </c>
      <c r="C49" s="29">
        <f>668760.96</f>
        <v>668760.96</v>
      </c>
      <c r="D49" s="30">
        <f>856939.87</f>
        <v>856939.87</v>
      </c>
    </row>
    <row r="50" spans="1:4">
      <c r="A50" s="8" t="s">
        <v>169</v>
      </c>
      <c r="B50" s="9" t="s">
        <v>170</v>
      </c>
      <c r="C50" s="14">
        <f>C8+C25+C40+C41+C42+C43+C44+C45+C49+C51+C52</f>
        <v>9125925</v>
      </c>
      <c r="D50" s="15">
        <f>D8+D25+D40+D41+D42+D43+D44+D45+D49+D51+D52</f>
        <v>9125925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5411130.9000000004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5276203.74</f>
        <v>5276203.74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134927.16</f>
        <v>134927.16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2926494</f>
        <v>2926494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8337624.9000000004</v>
      </c>
      <c r="D59" s="27">
        <f>D54+D57+D58</f>
        <v>0</v>
      </c>
    </row>
    <row r="60" spans="1:4" ht="25.5">
      <c r="A60" s="33" t="s">
        <v>188</v>
      </c>
      <c r="B60" s="9"/>
      <c r="C60" s="34">
        <v>33875</v>
      </c>
      <c r="D60" s="35">
        <v>33875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261"/>
  <sheetViews>
    <sheetView topLeftCell="A22" workbookViewId="0">
      <selection activeCell="D16" sqref="D16:D17"/>
    </sheetView>
  </sheetViews>
  <sheetFormatPr defaultColWidth="11.7109375" defaultRowHeight="15"/>
  <cols>
    <col min="1" max="1" width="59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5.5" customHeight="1">
      <c r="A5" s="115" t="s">
        <v>83</v>
      </c>
      <c r="B5" s="117" t="s">
        <v>84</v>
      </c>
      <c r="C5" s="119" t="s">
        <v>303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1219169.94</v>
      </c>
      <c r="D8" s="11">
        <f>D9+D11+D14+D15</f>
        <v>1152110.71</v>
      </c>
    </row>
    <row r="9" spans="1:4" ht="30">
      <c r="A9" s="12" t="s">
        <v>90</v>
      </c>
      <c r="B9" s="13" t="s">
        <v>91</v>
      </c>
      <c r="C9" s="14">
        <f>1061578.91</f>
        <v>1061578.9099999999</v>
      </c>
      <c r="D9" s="15">
        <f>1060291.6</f>
        <v>1060291.6000000001</v>
      </c>
    </row>
    <row r="10" spans="1:4">
      <c r="A10" s="16" t="s">
        <v>92</v>
      </c>
      <c r="B10" s="17" t="s">
        <v>93</v>
      </c>
      <c r="C10" s="18">
        <f>688341.374807988</f>
        <v>688341.37480798794</v>
      </c>
      <c r="D10" s="19">
        <f>_62h_E12</f>
        <v>688341.37480798794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157591.02999999997</v>
      </c>
      <c r="D15" s="15">
        <f>SUM(D16:D24)</f>
        <v>91819.109999999986</v>
      </c>
    </row>
    <row r="16" spans="1:4">
      <c r="A16" s="22" t="s">
        <v>103</v>
      </c>
      <c r="B16" s="17" t="s">
        <v>104</v>
      </c>
      <c r="C16" s="111">
        <v>104881.44</v>
      </c>
      <c r="D16" s="113">
        <v>32219.599999999999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27170.4</f>
        <v>27170.400000000001</v>
      </c>
      <c r="D18" s="19">
        <f>34060.13</f>
        <v>34060.129999999997</v>
      </c>
    </row>
    <row r="19" spans="1:4">
      <c r="A19" s="22" t="s">
        <v>109</v>
      </c>
      <c r="B19" s="17" t="s">
        <v>110</v>
      </c>
      <c r="C19" s="18">
        <f>3026.18</f>
        <v>3026.18</v>
      </c>
      <c r="D19" s="19">
        <f>3028.2</f>
        <v>3028.2</v>
      </c>
    </row>
    <row r="20" spans="1:4">
      <c r="A20" s="22" t="s">
        <v>111</v>
      </c>
      <c r="B20" s="17" t="s">
        <v>112</v>
      </c>
      <c r="C20" s="18">
        <f>4002.12</f>
        <v>4002.12</v>
      </c>
      <c r="D20" s="19">
        <f>4000.29</f>
        <v>4000.29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18510.89</f>
        <v>18510.89</v>
      </c>
      <c r="D22" s="19">
        <f>18510.89</f>
        <v>18510.89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478405.45999999903</v>
      </c>
      <c r="D25" s="15">
        <f>D26+D27+D30+D28+D29+D31</f>
        <v>413413.51</v>
      </c>
    </row>
    <row r="26" spans="1:4" ht="21.75" customHeight="1">
      <c r="A26" s="24" t="s">
        <v>123</v>
      </c>
      <c r="B26" s="20" t="s">
        <v>124</v>
      </c>
      <c r="C26" s="18">
        <f>134236.68</f>
        <v>134236.68</v>
      </c>
      <c r="D26" s="19">
        <f>133957.01</f>
        <v>133957.01</v>
      </c>
    </row>
    <row r="27" spans="1:4" ht="45">
      <c r="A27" s="24" t="s">
        <v>125</v>
      </c>
      <c r="B27" s="20" t="s">
        <v>126</v>
      </c>
      <c r="C27" s="18">
        <f>20264.04</f>
        <v>20264.04</v>
      </c>
      <c r="D27" s="19">
        <f>20310.1</f>
        <v>20310.099999999999</v>
      </c>
    </row>
    <row r="28" spans="1:4" ht="33.7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20218.56</f>
        <v>20218.560000000001</v>
      </c>
      <c r="D29" s="19">
        <f>20041.72</f>
        <v>20041.72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303686.179999999</v>
      </c>
      <c r="D31" s="15">
        <f>SUM(D32:D39)</f>
        <v>239104.68</v>
      </c>
    </row>
    <row r="32" spans="1:4" ht="22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27500.64</f>
        <v>27500.639999999999</v>
      </c>
      <c r="D33" s="19">
        <f>21315.22</f>
        <v>21315.22</v>
      </c>
    </row>
    <row r="34" spans="1:4">
      <c r="A34" s="24" t="s">
        <v>139</v>
      </c>
      <c r="B34" s="17" t="s">
        <v>140</v>
      </c>
      <c r="C34" s="18">
        <f>38352.72</f>
        <v>38352.720000000001</v>
      </c>
      <c r="D34" s="19">
        <f>38754.89</f>
        <v>38754.89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207201.409999999</f>
        <v>207201.40999999901</v>
      </c>
      <c r="D39" s="19">
        <f>148403.16</f>
        <v>148403.16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30807.4</v>
      </c>
      <c r="D45" s="27">
        <f>SUM(D46:D48)</f>
        <v>124401.31</v>
      </c>
    </row>
    <row r="46" spans="1:4">
      <c r="A46" s="21" t="s">
        <v>163</v>
      </c>
      <c r="B46" s="17" t="s">
        <v>164</v>
      </c>
      <c r="C46" s="18">
        <f>11716.68</f>
        <v>11716.68</v>
      </c>
      <c r="D46" s="19">
        <f>12980.47</f>
        <v>12980.47</v>
      </c>
    </row>
    <row r="47" spans="1:4">
      <c r="A47" s="21" t="s">
        <v>149</v>
      </c>
      <c r="B47" s="17" t="s">
        <v>165</v>
      </c>
      <c r="C47" s="18">
        <f>18650.56</f>
        <v>18650.560000000001</v>
      </c>
      <c r="D47" s="19">
        <f>110980.68</f>
        <v>110980.68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136673.4</f>
        <v>136673.4</v>
      </c>
      <c r="D49" s="30">
        <f>175130.67</f>
        <v>175130.67</v>
      </c>
    </row>
    <row r="50" spans="1:4">
      <c r="A50" s="8" t="s">
        <v>169</v>
      </c>
      <c r="B50" s="9" t="s">
        <v>170</v>
      </c>
      <c r="C50" s="14">
        <f>C8+C25+C40+C41+C42+C43+C44+C45+C49+C51+C52</f>
        <v>1865056.1999999988</v>
      </c>
      <c r="D50" s="15">
        <f>D8+D25+D40+D41+D42+D43+D44+D45+D49+D51+D52</f>
        <v>1865056.2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981775.67999999993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965232.72</f>
        <v>965232.72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16542.96</f>
        <v>16542.96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517836</f>
        <v>517836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1499611.68</v>
      </c>
      <c r="D59" s="27">
        <f>D54+D57+D58</f>
        <v>0</v>
      </c>
    </row>
    <row r="60" spans="1:4" ht="25.5">
      <c r="A60" s="33" t="s">
        <v>188</v>
      </c>
      <c r="B60" s="9"/>
      <c r="C60" s="34">
        <v>6923</v>
      </c>
      <c r="D60" s="35">
        <v>6923</v>
      </c>
    </row>
    <row r="61" spans="1:4" ht="15.75" thickBot="1">
      <c r="A61" s="36" t="s">
        <v>189</v>
      </c>
      <c r="B61" s="37"/>
      <c r="C61" s="38">
        <f>(C50+C51+C52)/C60/12</f>
        <v>22.449999999999985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H41" sqref="H40:H41"/>
    </sheetView>
  </sheetViews>
  <sheetFormatPr defaultColWidth="11.7109375" defaultRowHeight="15"/>
  <cols>
    <col min="1" max="1" width="63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12.75" customHeight="1">
      <c r="A5" s="115" t="s">
        <v>83</v>
      </c>
      <c r="B5" s="117" t="s">
        <v>84</v>
      </c>
      <c r="C5" s="119" t="s">
        <v>454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47">
        <v>632957.32999999996</v>
      </c>
      <c r="D8" s="11">
        <f>D9+D11+D14+D15</f>
        <v>702630.89</v>
      </c>
    </row>
    <row r="9" spans="1:4" ht="30">
      <c r="A9" s="12" t="s">
        <v>90</v>
      </c>
      <c r="B9" s="13" t="s">
        <v>91</v>
      </c>
      <c r="C9" s="48">
        <v>552218.49</v>
      </c>
      <c r="D9" s="15">
        <f>550616.35</f>
        <v>550616.35</v>
      </c>
    </row>
    <row r="10" spans="1:4">
      <c r="A10" s="16" t="s">
        <v>92</v>
      </c>
      <c r="B10" s="17" t="s">
        <v>93</v>
      </c>
      <c r="C10" s="49">
        <v>361152.23502304102</v>
      </c>
      <c r="D10" s="19">
        <f>_63h_E12</f>
        <v>361152.23502304102</v>
      </c>
    </row>
    <row r="11" spans="1:4" ht="21.75" customHeight="1">
      <c r="A11" s="12" t="s">
        <v>94</v>
      </c>
      <c r="B11" s="20" t="s">
        <v>95</v>
      </c>
      <c r="C11" s="48"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49"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49"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49"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48">
        <v>80738.84</v>
      </c>
      <c r="D15" s="15">
        <f>SUM(D16:D24)</f>
        <v>152014.54</v>
      </c>
    </row>
    <row r="16" spans="1:4">
      <c r="A16" s="22" t="s">
        <v>103</v>
      </c>
      <c r="B16" s="17" t="s">
        <v>104</v>
      </c>
      <c r="C16" s="111">
        <v>52447.32</v>
      </c>
      <c r="D16" s="113">
        <v>124159.32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49">
        <v>15525.96</v>
      </c>
      <c r="D18" s="19">
        <f>15089.55</f>
        <v>15089.55</v>
      </c>
    </row>
    <row r="19" spans="1:4">
      <c r="A19" s="22" t="s">
        <v>109</v>
      </c>
      <c r="B19" s="17" t="s">
        <v>110</v>
      </c>
      <c r="C19" s="49">
        <v>1512.5</v>
      </c>
      <c r="D19" s="19">
        <f>1513.5</f>
        <v>1513.5</v>
      </c>
    </row>
    <row r="20" spans="1:4">
      <c r="A20" s="22" t="s">
        <v>111</v>
      </c>
      <c r="B20" s="17" t="s">
        <v>112</v>
      </c>
      <c r="C20" s="49">
        <v>1997.62</v>
      </c>
      <c r="D20" s="19">
        <f>1996.73</f>
        <v>1996.73</v>
      </c>
    </row>
    <row r="21" spans="1:4">
      <c r="A21" s="22" t="s">
        <v>113</v>
      </c>
      <c r="B21" s="17" t="s">
        <v>114</v>
      </c>
      <c r="C21" s="49"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49">
        <v>9255.44</v>
      </c>
      <c r="D22" s="19">
        <f>9255.44</f>
        <v>9255.44</v>
      </c>
    </row>
    <row r="23" spans="1:4">
      <c r="A23" s="22" t="s">
        <v>117</v>
      </c>
      <c r="B23" s="17" t="s">
        <v>118</v>
      </c>
      <c r="C23" s="49">
        <v>0</v>
      </c>
      <c r="D23" s="19">
        <f>0</f>
        <v>0</v>
      </c>
    </row>
    <row r="24" spans="1:4" ht="21.75" customHeight="1">
      <c r="A24" s="23" t="s">
        <v>119</v>
      </c>
      <c r="B24" s="17" t="s">
        <v>120</v>
      </c>
      <c r="C24" s="49"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48">
        <v>218089.62999999739</v>
      </c>
      <c r="D25" s="15">
        <f>D26+D27+D30+D28+D29+D31</f>
        <v>158552.44999999998</v>
      </c>
    </row>
    <row r="26" spans="1:4" ht="24" customHeight="1">
      <c r="A26" s="24" t="s">
        <v>123</v>
      </c>
      <c r="B26" s="20" t="s">
        <v>124</v>
      </c>
      <c r="C26" s="49">
        <v>83897.88</v>
      </c>
      <c r="D26" s="19">
        <f>83897.87</f>
        <v>83897.87</v>
      </c>
    </row>
    <row r="27" spans="1:4" ht="32.25" customHeight="1">
      <c r="A27" s="24" t="s">
        <v>125</v>
      </c>
      <c r="B27" s="20" t="s">
        <v>126</v>
      </c>
      <c r="C27" s="49">
        <v>10276.68</v>
      </c>
      <c r="D27" s="19">
        <f>10185.36</f>
        <v>10185.36</v>
      </c>
    </row>
    <row r="28" spans="1:4" ht="32.25" customHeight="1">
      <c r="A28" s="21" t="s">
        <v>127</v>
      </c>
      <c r="B28" s="20" t="s">
        <v>128</v>
      </c>
      <c r="C28" s="49"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49">
        <v>10026</v>
      </c>
      <c r="D29" s="19">
        <f>9938.26</f>
        <v>9938.26</v>
      </c>
    </row>
    <row r="30" spans="1:4">
      <c r="A30" s="21" t="s">
        <v>131</v>
      </c>
      <c r="B30" s="20" t="s">
        <v>132</v>
      </c>
      <c r="C30" s="49"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48">
        <v>113889.0699999974</v>
      </c>
      <c r="D31" s="15">
        <f>SUM(D32:D39)</f>
        <v>54530.96</v>
      </c>
    </row>
    <row r="32" spans="1:4" ht="21" customHeight="1">
      <c r="A32" s="24" t="s">
        <v>135</v>
      </c>
      <c r="B32" s="17" t="s">
        <v>136</v>
      </c>
      <c r="C32" s="49">
        <v>15315.71</v>
      </c>
      <c r="D32" s="19">
        <f>15315.68</f>
        <v>15315.68</v>
      </c>
    </row>
    <row r="33" spans="1:4">
      <c r="A33" s="24" t="s">
        <v>137</v>
      </c>
      <c r="B33" s="17" t="s">
        <v>138</v>
      </c>
      <c r="C33" s="49">
        <v>13946.76</v>
      </c>
      <c r="D33" s="19">
        <f>8404.22</f>
        <v>8404.2199999999993</v>
      </c>
    </row>
    <row r="34" spans="1:4">
      <c r="A34" s="24" t="s">
        <v>139</v>
      </c>
      <c r="B34" s="17" t="s">
        <v>140</v>
      </c>
      <c r="C34" s="49">
        <v>18766.080000000002</v>
      </c>
      <c r="D34" s="19">
        <f>18962.94</f>
        <v>18962.939999999999</v>
      </c>
    </row>
    <row r="35" spans="1:4">
      <c r="A35" s="24" t="s">
        <v>141</v>
      </c>
      <c r="B35" s="17" t="s">
        <v>142</v>
      </c>
      <c r="C35" s="49"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49"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49"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49">
        <v>0</v>
      </c>
      <c r="D38" s="19">
        <f>0</f>
        <v>0</v>
      </c>
    </row>
    <row r="39" spans="1:4" ht="30">
      <c r="A39" s="24" t="s">
        <v>476</v>
      </c>
      <c r="B39" s="17" t="s">
        <v>150</v>
      </c>
      <c r="C39" s="49">
        <v>65860.519999997399</v>
      </c>
      <c r="D39" s="19">
        <f>11848.12</f>
        <v>11848.12</v>
      </c>
    </row>
    <row r="40" spans="1:4" ht="21" customHeight="1">
      <c r="A40" s="8" t="s">
        <v>151</v>
      </c>
      <c r="B40" s="9" t="s">
        <v>152</v>
      </c>
      <c r="C40" s="50">
        <v>0</v>
      </c>
      <c r="D40" s="27">
        <f>0</f>
        <v>0</v>
      </c>
    </row>
    <row r="41" spans="1:4" ht="19.5" customHeight="1">
      <c r="A41" s="8" t="s">
        <v>153</v>
      </c>
      <c r="B41" s="9" t="s">
        <v>154</v>
      </c>
      <c r="C41" s="50"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50"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50"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50"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50">
        <v>6030.12</v>
      </c>
      <c r="D45" s="27">
        <f>SUM(D46:D48)</f>
        <v>4715.25</v>
      </c>
    </row>
    <row r="46" spans="1:4">
      <c r="A46" s="21" t="s">
        <v>163</v>
      </c>
      <c r="B46" s="17" t="s">
        <v>164</v>
      </c>
      <c r="C46" s="49">
        <v>5810.04</v>
      </c>
      <c r="D46" s="19">
        <f>4495.17</f>
        <v>4495.17</v>
      </c>
    </row>
    <row r="47" spans="1:4">
      <c r="A47" s="21" t="s">
        <v>149</v>
      </c>
      <c r="B47" s="17" t="s">
        <v>165</v>
      </c>
      <c r="C47" s="49"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49">
        <v>220.08</v>
      </c>
      <c r="D48" s="19">
        <f>220.08</f>
        <v>220.08</v>
      </c>
    </row>
    <row r="49" spans="1:4">
      <c r="A49" s="8" t="s">
        <v>440</v>
      </c>
      <c r="B49" s="28" t="s">
        <v>168</v>
      </c>
      <c r="C49" s="51">
        <v>67773.119999999995</v>
      </c>
      <c r="D49" s="30">
        <f>58951.61</f>
        <v>58951.61</v>
      </c>
    </row>
    <row r="50" spans="1:4">
      <c r="A50" s="8" t="s">
        <v>169</v>
      </c>
      <c r="B50" s="9" t="s">
        <v>170</v>
      </c>
      <c r="C50" s="14">
        <f>C8+C25+C40+C41+C42+C43+C44+C45+C49+C51+C52</f>
        <v>924850.19999999739</v>
      </c>
      <c r="D50" s="15">
        <f>D8+D25+D40+D41+D42+D43+D44+D45+D49+D51+D52</f>
        <v>924850.2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554796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539253.84</f>
        <v>539253.84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15542.16</f>
        <v>15542.16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297198</f>
        <v>297198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851994</v>
      </c>
      <c r="D59" s="27">
        <f>D54+D57+D58</f>
        <v>0</v>
      </c>
    </row>
    <row r="60" spans="1:4" ht="25.5">
      <c r="A60" s="33" t="s">
        <v>188</v>
      </c>
      <c r="B60" s="9"/>
      <c r="C60" s="34">
        <v>3433</v>
      </c>
      <c r="D60" s="35">
        <v>3433</v>
      </c>
    </row>
    <row r="61" spans="1:4" ht="15.75" thickBot="1">
      <c r="A61" s="36" t="s">
        <v>189</v>
      </c>
      <c r="B61" s="37"/>
      <c r="C61" s="38">
        <f>(C50+C51+C52)/C60/12</f>
        <v>22.449999999999935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A47" sqref="A47"/>
    </sheetView>
  </sheetViews>
  <sheetFormatPr defaultColWidth="11.7109375" defaultRowHeight="15"/>
  <cols>
    <col min="1" max="1" width="62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306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7342641.4699999997</v>
      </c>
      <c r="D8" s="11">
        <f>D9+D11+D14+D15</f>
        <v>6996484.9399999995</v>
      </c>
    </row>
    <row r="9" spans="1:4" ht="30">
      <c r="A9" s="12" t="s">
        <v>90</v>
      </c>
      <c r="B9" s="13" t="s">
        <v>91</v>
      </c>
      <c r="C9" s="14">
        <f>6214680.72</f>
        <v>6214680.7199999997</v>
      </c>
      <c r="D9" s="15">
        <f>6042475.75</f>
        <v>6042475.75</v>
      </c>
    </row>
    <row r="10" spans="1:4">
      <c r="A10" s="16" t="s">
        <v>92</v>
      </c>
      <c r="B10" s="17" t="s">
        <v>93</v>
      </c>
      <c r="C10" s="18">
        <f>3911598.89400922</f>
        <v>3911598.8940092199</v>
      </c>
      <c r="D10" s="19">
        <f>_64h_E12</f>
        <v>3911598.8940092199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 ht="18.75" customHeight="1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1127960.75</v>
      </c>
      <c r="D15" s="15">
        <f>SUM(D16:D24)</f>
        <v>954009.18999999983</v>
      </c>
    </row>
    <row r="16" spans="1:4">
      <c r="A16" s="22" t="s">
        <v>103</v>
      </c>
      <c r="B16" s="17" t="s">
        <v>104</v>
      </c>
      <c r="C16" s="111">
        <v>830712.84</v>
      </c>
      <c r="D16" s="113">
        <v>636766.07999999996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157821.6</f>
        <v>157821.6</v>
      </c>
      <c r="D18" s="19">
        <f>177807.87</f>
        <v>177807.87</v>
      </c>
    </row>
    <row r="19" spans="1:4">
      <c r="A19" s="22" t="s">
        <v>109</v>
      </c>
      <c r="B19" s="17" t="s">
        <v>110</v>
      </c>
      <c r="C19" s="18">
        <f>24064.28</f>
        <v>24064.28</v>
      </c>
      <c r="D19" s="19">
        <f>24080.44</f>
        <v>24080.44</v>
      </c>
    </row>
    <row r="20" spans="1:4">
      <c r="A20" s="22" t="s">
        <v>111</v>
      </c>
      <c r="B20" s="17" t="s">
        <v>112</v>
      </c>
      <c r="C20" s="18">
        <f>16637.3</f>
        <v>16637.3</v>
      </c>
      <c r="D20" s="19">
        <f>16630.07</f>
        <v>16630.07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98724.73</f>
        <v>98724.73</v>
      </c>
      <c r="D22" s="19">
        <f>98724.73</f>
        <v>98724.73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3608716.11</v>
      </c>
      <c r="D25" s="15">
        <f>D26+D27+D30+D28+D29+D31</f>
        <v>3703502.55</v>
      </c>
    </row>
    <row r="26" spans="1:4" ht="18.75" customHeight="1">
      <c r="A26" s="24" t="s">
        <v>123</v>
      </c>
      <c r="B26" s="20" t="s">
        <v>124</v>
      </c>
      <c r="C26" s="18">
        <f>2049804.48</f>
        <v>2049804.48</v>
      </c>
      <c r="D26" s="19">
        <f>2030384.75</f>
        <v>2030384.75</v>
      </c>
    </row>
    <row r="27" spans="1:4" ht="33" customHeight="1">
      <c r="A27" s="24" t="s">
        <v>125</v>
      </c>
      <c r="B27" s="20" t="s">
        <v>126</v>
      </c>
      <c r="C27" s="18">
        <f>106676.52</f>
        <v>106676.52</v>
      </c>
      <c r="D27" s="19">
        <f>106630.84</f>
        <v>106630.84</v>
      </c>
    </row>
    <row r="28" spans="1:4" ht="31.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137161.32</f>
        <v>137161.32</v>
      </c>
      <c r="D29" s="19">
        <f>135962.19</f>
        <v>135962.19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498161.79000000004</v>
      </c>
      <c r="D31" s="15">
        <f>SUM(D32:D39)</f>
        <v>613612.77</v>
      </c>
    </row>
    <row r="32" spans="1:4" ht="20.25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144771.48</f>
        <v>144771.48000000001</v>
      </c>
      <c r="D33" s="19">
        <f>120121.81</f>
        <v>120121.81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256948.43</f>
        <v>256948.43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v>0</v>
      </c>
      <c r="D39" s="19">
        <v>144648.26</v>
      </c>
    </row>
    <row r="40" spans="1:4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8.7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v>529828.14</v>
      </c>
      <c r="D43" s="27">
        <v>893298.35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244001.44</v>
      </c>
      <c r="D45" s="27">
        <f>SUM(D46:D48)</f>
        <v>252575.31</v>
      </c>
    </row>
    <row r="46" spans="1:4">
      <c r="A46" s="21" t="s">
        <v>163</v>
      </c>
      <c r="B46" s="17" t="s">
        <v>164</v>
      </c>
      <c r="C46" s="18">
        <f>79485.12</f>
        <v>79485.119999999995</v>
      </c>
      <c r="D46" s="19">
        <f>88058.98</f>
        <v>88058.98</v>
      </c>
    </row>
    <row r="47" spans="1:4" ht="30">
      <c r="A47" s="88" t="s">
        <v>489</v>
      </c>
      <c r="B47" s="17" t="s">
        <v>165</v>
      </c>
      <c r="C47" s="18">
        <f>161875</f>
        <v>161875</v>
      </c>
      <c r="D47" s="19">
        <f>161875.01</f>
        <v>161875.01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 ht="17.25" customHeight="1">
      <c r="A49" s="8" t="s">
        <v>440</v>
      </c>
      <c r="B49" s="28" t="s">
        <v>168</v>
      </c>
      <c r="C49" s="29">
        <f>927183.84</f>
        <v>927183.84</v>
      </c>
      <c r="D49" s="30">
        <f>806509.85</f>
        <v>806509.85</v>
      </c>
    </row>
    <row r="50" spans="1:4">
      <c r="A50" s="8" t="s">
        <v>169</v>
      </c>
      <c r="B50" s="9" t="s">
        <v>170</v>
      </c>
      <c r="C50" s="14">
        <f>C8+C25+C40+C41+C42+C43+C44+C45+C49+C51+C52</f>
        <v>12652371</v>
      </c>
      <c r="D50" s="15">
        <f>D8+D25+D40+D41+D42+D43+D44+D45+D49+D51+D52</f>
        <v>12652370.999999998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7568270.04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6992235.12</f>
        <v>6992235.1200000001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576034.92</f>
        <v>576034.92000000004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3744954</f>
        <v>3744954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11313224.039999999</v>
      </c>
      <c r="D59" s="27">
        <f>D54+D57+D58</f>
        <v>0</v>
      </c>
    </row>
    <row r="60" spans="1:4" ht="25.5">
      <c r="A60" s="33" t="s">
        <v>188</v>
      </c>
      <c r="B60" s="9"/>
      <c r="C60" s="34">
        <v>46965</v>
      </c>
      <c r="D60" s="35">
        <v>46965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261"/>
  <sheetViews>
    <sheetView topLeftCell="A22" workbookViewId="0">
      <selection activeCell="A39" sqref="A39"/>
    </sheetView>
  </sheetViews>
  <sheetFormatPr defaultColWidth="11.7109375" defaultRowHeight="15"/>
  <cols>
    <col min="1" max="1" width="62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308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4291719.83</v>
      </c>
      <c r="D8" s="11">
        <f>D9+D11+D14+D15</f>
        <v>4344147.37</v>
      </c>
    </row>
    <row r="9" spans="1:4" ht="30">
      <c r="A9" s="12" t="s">
        <v>90</v>
      </c>
      <c r="B9" s="13" t="s">
        <v>91</v>
      </c>
      <c r="C9" s="14">
        <f>3722293.79</f>
        <v>3722293.79</v>
      </c>
      <c r="D9" s="15">
        <f>3577776.66</f>
        <v>3577776.66</v>
      </c>
    </row>
    <row r="10" spans="1:4">
      <c r="A10" s="16" t="s">
        <v>92</v>
      </c>
      <c r="B10" s="17" t="s">
        <v>93</v>
      </c>
      <c r="C10" s="18">
        <f>2164471.97388633</f>
        <v>2164471.9738863301</v>
      </c>
      <c r="D10" s="19">
        <f>_65h_E12</f>
        <v>2164471.9738863301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569426.04</v>
      </c>
      <c r="D15" s="15">
        <f>SUM(D16:D24)</f>
        <v>766370.71000000008</v>
      </c>
    </row>
    <row r="16" spans="1:4">
      <c r="A16" s="22" t="s">
        <v>103</v>
      </c>
      <c r="B16" s="17" t="s">
        <v>104</v>
      </c>
      <c r="C16" s="111">
        <v>414527.76</v>
      </c>
      <c r="D16" s="113">
        <v>590246.89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83685</f>
        <v>83685</v>
      </c>
      <c r="D18" s="19">
        <f>104905.78</f>
        <v>104905.78</v>
      </c>
    </row>
    <row r="19" spans="1:4">
      <c r="A19" s="22" t="s">
        <v>109</v>
      </c>
      <c r="B19" s="17" t="s">
        <v>110</v>
      </c>
      <c r="C19" s="18">
        <f>12903.96</f>
        <v>12903.96</v>
      </c>
      <c r="D19" s="19">
        <f>12912.64</f>
        <v>12912.64</v>
      </c>
    </row>
    <row r="20" spans="1:4">
      <c r="A20" s="22" t="s">
        <v>111</v>
      </c>
      <c r="B20" s="17" t="s">
        <v>112</v>
      </c>
      <c r="C20" s="18">
        <f>8946.96</f>
        <v>8946.9599999999991</v>
      </c>
      <c r="D20" s="19">
        <f>8943.04</f>
        <v>8943.0400000000009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49362.36</f>
        <v>49362.36</v>
      </c>
      <c r="D22" s="19">
        <f>49362.36</f>
        <v>49362.36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1771452.8499999968</v>
      </c>
      <c r="D25" s="15">
        <f>D26+D27+D30+D28+D29+D31</f>
        <v>1669679.9000000001</v>
      </c>
    </row>
    <row r="26" spans="1:4" ht="17.25" customHeight="1">
      <c r="A26" s="24" t="s">
        <v>123</v>
      </c>
      <c r="B26" s="20" t="s">
        <v>124</v>
      </c>
      <c r="C26" s="18">
        <f>884290.92</f>
        <v>884290.92</v>
      </c>
      <c r="D26" s="19">
        <f>875079.53</f>
        <v>875079.53</v>
      </c>
    </row>
    <row r="27" spans="1:4" ht="34.5" customHeight="1">
      <c r="A27" s="24" t="s">
        <v>125</v>
      </c>
      <c r="B27" s="20" t="s">
        <v>126</v>
      </c>
      <c r="C27" s="18">
        <f>55581.72</f>
        <v>55581.72</v>
      </c>
      <c r="D27" s="19">
        <f>55635.28</f>
        <v>55635.28</v>
      </c>
    </row>
    <row r="28" spans="1:4" ht="32.25" customHeight="1">
      <c r="A28" s="21" t="s">
        <v>127</v>
      </c>
      <c r="B28" s="20" t="s">
        <v>128</v>
      </c>
      <c r="C28" s="18">
        <f>408456</f>
        <v>408456</v>
      </c>
      <c r="D28" s="19">
        <f>408456</f>
        <v>408456</v>
      </c>
    </row>
    <row r="29" spans="1:4">
      <c r="A29" s="21" t="s">
        <v>129</v>
      </c>
      <c r="B29" s="20" t="s">
        <v>130</v>
      </c>
      <c r="C29" s="18">
        <f>71426.76</f>
        <v>71426.759999999995</v>
      </c>
      <c r="D29" s="19">
        <f>70802.35</f>
        <v>70802.350000000006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351697.44999999675</v>
      </c>
      <c r="D31" s="15">
        <f>SUM(D32:D39)</f>
        <v>259706.74</v>
      </c>
    </row>
    <row r="32" spans="1:4" ht="18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75430.56</f>
        <v>75430.559999999998</v>
      </c>
      <c r="D33" s="19">
        <f>74754.64</f>
        <v>74754.64</v>
      </c>
    </row>
    <row r="34" spans="1:4">
      <c r="A34" s="24" t="s">
        <v>139</v>
      </c>
      <c r="B34" s="17" t="s">
        <v>140</v>
      </c>
      <c r="C34" s="18">
        <f>130748.04</f>
        <v>130748.04</v>
      </c>
      <c r="D34" s="19">
        <f>129630.11</f>
        <v>129630.11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99571.7299999968</f>
        <v>99571.729999996795</v>
      </c>
      <c r="D39" s="19">
        <f>9374.87</f>
        <v>9374.8700000000008</v>
      </c>
    </row>
    <row r="40" spans="1:4" ht="17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6.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7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42712.56</v>
      </c>
      <c r="D45" s="27">
        <f>SUM(D46:D48)</f>
        <v>47177.41</v>
      </c>
    </row>
    <row r="46" spans="1:4">
      <c r="A46" s="21" t="s">
        <v>163</v>
      </c>
      <c r="B46" s="17" t="s">
        <v>164</v>
      </c>
      <c r="C46" s="18">
        <f>41391.84</f>
        <v>41391.839999999997</v>
      </c>
      <c r="D46" s="19">
        <f>45856.69</f>
        <v>45856.69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482830.56</f>
        <v>482830.56</v>
      </c>
      <c r="D49" s="30">
        <f>527711.12</f>
        <v>527711.12</v>
      </c>
    </row>
    <row r="50" spans="1:4">
      <c r="A50" s="8" t="s">
        <v>169</v>
      </c>
      <c r="B50" s="9" t="s">
        <v>170</v>
      </c>
      <c r="C50" s="14">
        <f>C8+C25+C40+C41+C42+C43+C44+C45+C49+C51+C52</f>
        <v>6588715.7999999961</v>
      </c>
      <c r="D50" s="15">
        <f>D8+D25+D40+D41+D42+D43+D44+D45+D49+D51+D52</f>
        <v>6588715.8000000007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3925518.42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3724617.78</f>
        <v>3724617.78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200900.64</f>
        <v>200900.64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2015406</f>
        <v>2015406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5940924.4199999999</v>
      </c>
      <c r="D59" s="27">
        <f>D54+D57+D58</f>
        <v>0</v>
      </c>
    </row>
    <row r="60" spans="1:4" ht="25.5">
      <c r="A60" s="33" t="s">
        <v>188</v>
      </c>
      <c r="B60" s="9"/>
      <c r="C60" s="34">
        <v>24457</v>
      </c>
      <c r="D60" s="35">
        <v>24457</v>
      </c>
    </row>
    <row r="61" spans="1:4" ht="15.75" thickBot="1">
      <c r="A61" s="36" t="s">
        <v>189</v>
      </c>
      <c r="B61" s="37"/>
      <c r="C61" s="38">
        <f>(C50+C51+C52)/C60/12</f>
        <v>22.449999999999989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.74803149606299213" header="0.31496062992125984" footer="0.31496062992125984"/>
  <pageSetup paperSize="9" scale="7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264"/>
  <sheetViews>
    <sheetView workbookViewId="0">
      <selection activeCell="F47" sqref="F47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7" width="9.140625" customWidth="1"/>
    <col min="8" max="8" width="11.42578125" customWidth="1"/>
    <col min="9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310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4798196.75</v>
      </c>
      <c r="D8" s="11">
        <f>D9+D11+D14+D15</f>
        <v>4554717.57</v>
      </c>
    </row>
    <row r="9" spans="1:4" ht="30">
      <c r="A9" s="12" t="s">
        <v>90</v>
      </c>
      <c r="B9" s="13" t="s">
        <v>91</v>
      </c>
      <c r="C9" s="14">
        <f>4207992.46</f>
        <v>4207992.46</v>
      </c>
      <c r="D9" s="15">
        <f>4112834.78</f>
        <v>4112834.78</v>
      </c>
    </row>
    <row r="10" spans="1:4">
      <c r="A10" s="16" t="s">
        <v>92</v>
      </c>
      <c r="B10" s="17" t="s">
        <v>93</v>
      </c>
      <c r="C10" s="18">
        <f>2747771.59754224</f>
        <v>2747771.5975422398</v>
      </c>
      <c r="D10" s="19">
        <f>_66h_E12</f>
        <v>2747771.5975422398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590204.29</v>
      </c>
      <c r="D15" s="15">
        <f>SUM(D16:D24)</f>
        <v>441882.79000000004</v>
      </c>
    </row>
    <row r="16" spans="1:4">
      <c r="A16" s="22" t="s">
        <v>103</v>
      </c>
      <c r="B16" s="17" t="s">
        <v>104</v>
      </c>
      <c r="C16" s="111">
        <v>384174</v>
      </c>
      <c r="D16" s="113">
        <v>207780.39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110700.24</f>
        <v>110700.24</v>
      </c>
      <c r="D18" s="19">
        <f>138771.31</f>
        <v>138771.31</v>
      </c>
    </row>
    <row r="19" spans="1:4">
      <c r="A19" s="22" t="s">
        <v>109</v>
      </c>
      <c r="B19" s="17" t="s">
        <v>110</v>
      </c>
      <c r="C19" s="18">
        <f>11165.38</f>
        <v>11165.38</v>
      </c>
      <c r="D19" s="19">
        <f>11172.88</f>
        <v>11172.88</v>
      </c>
    </row>
    <row r="20" spans="1:4">
      <c r="A20" s="22" t="s">
        <v>111</v>
      </c>
      <c r="B20" s="17" t="s">
        <v>112</v>
      </c>
      <c r="C20" s="18">
        <f>14748.84</f>
        <v>14748.84</v>
      </c>
      <c r="D20" s="19">
        <f>14742.38</f>
        <v>14742.38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69415.83</f>
        <v>69415.83</v>
      </c>
      <c r="D22" s="19">
        <f>69415.83</f>
        <v>69415.83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1847365.0899999999</v>
      </c>
      <c r="D25" s="15">
        <f>D26+D27+D30+D28+D29+D31</f>
        <v>1589052.9300000002</v>
      </c>
    </row>
    <row r="26" spans="1:4" ht="22.5" customHeight="1">
      <c r="A26" s="24" t="s">
        <v>123</v>
      </c>
      <c r="B26" s="20" t="s">
        <v>124</v>
      </c>
      <c r="C26" s="18">
        <f>503388</f>
        <v>503388</v>
      </c>
      <c r="D26" s="19">
        <f>501989.7</f>
        <v>501989.7</v>
      </c>
    </row>
    <row r="27" spans="1:4" ht="45">
      <c r="A27" s="24" t="s">
        <v>125</v>
      </c>
      <c r="B27" s="20" t="s">
        <v>126</v>
      </c>
      <c r="C27" s="18">
        <f>77293.44</f>
        <v>77293.440000000002</v>
      </c>
      <c r="D27" s="19">
        <f>77247.83</f>
        <v>77247.83</v>
      </c>
    </row>
    <row r="28" spans="1:4" ht="32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78289.92</f>
        <v>78289.919999999998</v>
      </c>
      <c r="D29" s="19">
        <f>77605.51</f>
        <v>77605.509999999995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1188393.73</v>
      </c>
      <c r="D31" s="15">
        <f>SUM(D32:D39)</f>
        <v>932209.89</v>
      </c>
    </row>
    <row r="32" spans="1:4" ht="20.25" customHeight="1">
      <c r="A32" s="24" t="s">
        <v>135</v>
      </c>
      <c r="B32" s="17" t="s">
        <v>136</v>
      </c>
      <c r="C32" s="18">
        <f>114867.79</f>
        <v>114867.79</v>
      </c>
      <c r="D32" s="19">
        <f>114867.84</f>
        <v>114867.84</v>
      </c>
    </row>
    <row r="33" spans="1:4">
      <c r="A33" s="24" t="s">
        <v>137</v>
      </c>
      <c r="B33" s="17" t="s">
        <v>138</v>
      </c>
      <c r="C33" s="18">
        <f>119970.71</f>
        <v>119970.71</v>
      </c>
      <c r="D33" s="19">
        <f>99204.59</f>
        <v>99204.59</v>
      </c>
    </row>
    <row r="34" spans="1:4">
      <c r="A34" s="24" t="s">
        <v>139</v>
      </c>
      <c r="B34" s="17" t="s">
        <v>140</v>
      </c>
      <c r="C34" s="18">
        <f>174535.8</f>
        <v>174535.8</v>
      </c>
      <c r="D34" s="19">
        <f>176914.81</f>
        <v>176914.81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500</v>
      </c>
      <c r="B39" s="17" t="s">
        <v>150</v>
      </c>
      <c r="C39" s="18">
        <f>779019.43</f>
        <v>779019.43</v>
      </c>
      <c r="D39" s="35">
        <f>D40+D41+D42</f>
        <v>541222.65</v>
      </c>
    </row>
    <row r="40" spans="1:4">
      <c r="A40" s="24" t="s">
        <v>490</v>
      </c>
      <c r="B40" s="17"/>
      <c r="C40" s="84"/>
      <c r="D40" s="101">
        <v>165852.79</v>
      </c>
    </row>
    <row r="41" spans="1:4">
      <c r="A41" s="24" t="s">
        <v>491</v>
      </c>
      <c r="B41" s="17"/>
      <c r="C41" s="84"/>
      <c r="D41" s="101">
        <v>83605.740000000005</v>
      </c>
    </row>
    <row r="42" spans="1:4">
      <c r="A42" s="24" t="s">
        <v>492</v>
      </c>
      <c r="B42" s="17"/>
      <c r="C42" s="84"/>
      <c r="D42" s="101">
        <v>291764.12</v>
      </c>
    </row>
    <row r="43" spans="1:4" ht="21" customHeight="1">
      <c r="A43" s="8" t="s">
        <v>151</v>
      </c>
      <c r="B43" s="9" t="s">
        <v>152</v>
      </c>
      <c r="C43" s="26">
        <f>0</f>
        <v>0</v>
      </c>
      <c r="D43" s="27">
        <f>0</f>
        <v>0</v>
      </c>
    </row>
    <row r="44" spans="1:4" ht="28.5">
      <c r="A44" s="8" t="s">
        <v>153</v>
      </c>
      <c r="B44" s="9" t="s">
        <v>154</v>
      </c>
      <c r="C44" s="26">
        <f>0</f>
        <v>0</v>
      </c>
      <c r="D44" s="27">
        <f>0</f>
        <v>0</v>
      </c>
    </row>
    <row r="45" spans="1:4">
      <c r="A45" s="8" t="s">
        <v>155</v>
      </c>
      <c r="B45" s="9" t="s">
        <v>156</v>
      </c>
      <c r="C45" s="26">
        <f>0</f>
        <v>0</v>
      </c>
      <c r="D45" s="27">
        <f>0</f>
        <v>0</v>
      </c>
    </row>
    <row r="46" spans="1:4" ht="19.5" customHeight="1">
      <c r="A46" s="8" t="s">
        <v>157</v>
      </c>
      <c r="B46" s="9" t="s">
        <v>158</v>
      </c>
      <c r="C46" s="26">
        <f>0</f>
        <v>0</v>
      </c>
      <c r="D46" s="27">
        <f>0</f>
        <v>0</v>
      </c>
    </row>
    <row r="47" spans="1:4">
      <c r="A47" s="8" t="s">
        <v>159</v>
      </c>
      <c r="B47" s="9" t="s">
        <v>160</v>
      </c>
      <c r="C47" s="26">
        <f>0</f>
        <v>0</v>
      </c>
      <c r="D47" s="27">
        <f>0</f>
        <v>0</v>
      </c>
    </row>
    <row r="48" spans="1:4">
      <c r="A48" s="8" t="s">
        <v>161</v>
      </c>
      <c r="B48" s="9" t="s">
        <v>162</v>
      </c>
      <c r="C48" s="26">
        <f>SUM(C49:C51)</f>
        <v>47019.96</v>
      </c>
      <c r="D48" s="27">
        <f>SUM(D49:D51)</f>
        <v>399895.91000000003</v>
      </c>
    </row>
    <row r="49" spans="1:4">
      <c r="A49" s="21" t="s">
        <v>163</v>
      </c>
      <c r="B49" s="17" t="s">
        <v>164</v>
      </c>
      <c r="C49" s="18">
        <f>45369.12</f>
        <v>45369.120000000003</v>
      </c>
      <c r="D49" s="19">
        <f>50262.98</f>
        <v>50262.98</v>
      </c>
    </row>
    <row r="50" spans="1:4">
      <c r="A50" s="21" t="s">
        <v>149</v>
      </c>
      <c r="B50" s="17" t="s">
        <v>165</v>
      </c>
      <c r="C50" s="18">
        <f>0</f>
        <v>0</v>
      </c>
      <c r="D50" s="108">
        <v>347982.09</v>
      </c>
    </row>
    <row r="51" spans="1:4">
      <c r="A51" s="21" t="s">
        <v>166</v>
      </c>
      <c r="B51" s="17" t="s">
        <v>167</v>
      </c>
      <c r="C51" s="18">
        <f>1650.84</f>
        <v>1650.84</v>
      </c>
      <c r="D51" s="19">
        <f>1650.84</f>
        <v>1650.84</v>
      </c>
    </row>
    <row r="52" spans="1:4">
      <c r="A52" s="8" t="s">
        <v>440</v>
      </c>
      <c r="B52" s="28" t="s">
        <v>168</v>
      </c>
      <c r="C52" s="29">
        <f>529224</f>
        <v>529224</v>
      </c>
      <c r="D52" s="30">
        <f>678139.39</f>
        <v>678139.39</v>
      </c>
    </row>
    <row r="53" spans="1:4">
      <c r="A53" s="8" t="s">
        <v>169</v>
      </c>
      <c r="B53" s="9" t="s">
        <v>170</v>
      </c>
      <c r="C53" s="14">
        <f>C8+C25+C43+C44+C45+C46+C47+C48+C52+C54+C55</f>
        <v>7221805.7999999998</v>
      </c>
      <c r="D53" s="15">
        <f>D8+D25+D43+D44+D45+D46+D47+D48+D52+D54+D55</f>
        <v>7221805.7999999998</v>
      </c>
    </row>
    <row r="54" spans="1:4">
      <c r="A54" s="8" t="s">
        <v>171</v>
      </c>
      <c r="B54" s="9" t="s">
        <v>172</v>
      </c>
      <c r="C54" s="26"/>
      <c r="D54" s="27"/>
    </row>
    <row r="55" spans="1:4">
      <c r="A55" s="8" t="s">
        <v>173</v>
      </c>
      <c r="B55" s="9" t="s">
        <v>174</v>
      </c>
      <c r="C55" s="26"/>
      <c r="D55" s="27"/>
    </row>
    <row r="56" spans="1:4" ht="28.5" hidden="1">
      <c r="A56" s="45" t="s">
        <v>175</v>
      </c>
      <c r="B56" s="20"/>
      <c r="C56" s="18"/>
      <c r="D56" s="19"/>
    </row>
    <row r="57" spans="1:4" ht="28.5" hidden="1">
      <c r="A57" s="45" t="s">
        <v>176</v>
      </c>
      <c r="B57" s="9" t="s">
        <v>177</v>
      </c>
      <c r="C57" s="26">
        <f>SUM(C58:C59)</f>
        <v>4125263.4</v>
      </c>
      <c r="D57" s="27">
        <f>SUM(D58:D59)</f>
        <v>0</v>
      </c>
    </row>
    <row r="58" spans="1:4" hidden="1">
      <c r="A58" s="21" t="s">
        <v>178</v>
      </c>
      <c r="B58" s="17" t="s">
        <v>179</v>
      </c>
      <c r="C58" s="18">
        <f>4013494.44</f>
        <v>4013494.44</v>
      </c>
      <c r="D58" s="19">
        <f>0</f>
        <v>0</v>
      </c>
    </row>
    <row r="59" spans="1:4" hidden="1">
      <c r="A59" s="21" t="s">
        <v>180</v>
      </c>
      <c r="B59" s="17" t="s">
        <v>181</v>
      </c>
      <c r="C59" s="18">
        <f>111768.96</f>
        <v>111768.96000000001</v>
      </c>
      <c r="D59" s="19">
        <f>0</f>
        <v>0</v>
      </c>
    </row>
    <row r="60" spans="1:4" ht="28.5" hidden="1">
      <c r="A60" s="45" t="s">
        <v>182</v>
      </c>
      <c r="B60" s="9" t="s">
        <v>183</v>
      </c>
      <c r="C60" s="26"/>
      <c r="D60" s="27"/>
    </row>
    <row r="61" spans="1:4" hidden="1">
      <c r="A61" s="31" t="s">
        <v>184</v>
      </c>
      <c r="B61" s="28" t="s">
        <v>185</v>
      </c>
      <c r="C61" s="29">
        <f>2203740</f>
        <v>2203740</v>
      </c>
      <c r="D61" s="30">
        <f>0</f>
        <v>0</v>
      </c>
    </row>
    <row r="62" spans="1:4" hidden="1">
      <c r="A62" s="45" t="s">
        <v>186</v>
      </c>
      <c r="B62" s="9"/>
      <c r="C62" s="26">
        <f>C57+C60+C61</f>
        <v>6329003.4000000004</v>
      </c>
      <c r="D62" s="27">
        <f>D57+D60+D61</f>
        <v>0</v>
      </c>
    </row>
    <row r="63" spans="1:4" ht="25.5">
      <c r="A63" s="33" t="s">
        <v>188</v>
      </c>
      <c r="B63" s="9"/>
      <c r="C63" s="34">
        <v>26807</v>
      </c>
      <c r="D63" s="35">
        <v>26807</v>
      </c>
    </row>
    <row r="64" spans="1:4" ht="15.75" thickBot="1">
      <c r="A64" s="36" t="s">
        <v>189</v>
      </c>
      <c r="B64" s="37"/>
      <c r="C64" s="38">
        <f>(C53+C54+C55)/C63/12</f>
        <v>22.45</v>
      </c>
      <c r="D64" s="39">
        <f>(D53+D54+D55)/D63/12</f>
        <v>22.45</v>
      </c>
    </row>
    <row r="65" spans="1:4">
      <c r="A65" s="40"/>
      <c r="B65" s="41"/>
      <c r="C65" s="41"/>
      <c r="D65" s="41"/>
    </row>
    <row r="66" spans="1:4">
      <c r="A66" s="40"/>
      <c r="B66" s="2"/>
      <c r="C66" s="2"/>
      <c r="D66" s="2"/>
    </row>
    <row r="67" spans="1:4">
      <c r="A67" s="42" t="s">
        <v>463</v>
      </c>
      <c r="B67" s="43"/>
      <c r="C67" s="43"/>
      <c r="D67" s="43" t="s">
        <v>464</v>
      </c>
    </row>
    <row r="68" spans="1:4">
      <c r="A68" s="40"/>
      <c r="B68" s="2"/>
      <c r="C68" s="2"/>
      <c r="D68" s="2"/>
    </row>
    <row r="69" spans="1:4">
      <c r="A69" s="42" t="s">
        <v>465</v>
      </c>
      <c r="B69" s="43"/>
      <c r="C69" s="43"/>
      <c r="D69" s="43" t="s">
        <v>466</v>
      </c>
    </row>
    <row r="70" spans="1:4">
      <c r="A70" s="44"/>
      <c r="B70" s="2"/>
      <c r="C70" s="2"/>
      <c r="D70" s="2"/>
    </row>
    <row r="71" spans="1:4">
      <c r="A71" s="42" t="s">
        <v>467</v>
      </c>
      <c r="B71" s="43"/>
      <c r="C71" s="43"/>
      <c r="D71" s="43" t="s">
        <v>468</v>
      </c>
    </row>
    <row r="72" spans="1:4">
      <c r="A72" s="44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  <row r="262" spans="1:4">
      <c r="A262" s="40"/>
      <c r="B262" s="2"/>
      <c r="C262" s="2"/>
      <c r="D262" s="2"/>
    </row>
    <row r="263" spans="1:4">
      <c r="A263" s="40"/>
      <c r="B263" s="2"/>
      <c r="C263" s="2"/>
      <c r="D263" s="2"/>
    </row>
    <row r="264" spans="1:4">
      <c r="A264" s="40"/>
      <c r="B264" s="2"/>
      <c r="C264" s="2"/>
      <c r="D264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39" sqref="E39"/>
    </sheetView>
  </sheetViews>
  <sheetFormatPr defaultColWidth="11.7109375" defaultRowHeight="15"/>
  <cols>
    <col min="1" max="1" width="6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312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4852430.75</v>
      </c>
      <c r="D8" s="11">
        <f>D9+D11+D14+D15</f>
        <v>4627864.3</v>
      </c>
    </row>
    <row r="9" spans="1:4" ht="30">
      <c r="A9" s="12" t="s">
        <v>90</v>
      </c>
      <c r="B9" s="13" t="s">
        <v>91</v>
      </c>
      <c r="C9" s="14">
        <f>4236600.64</f>
        <v>4236600.6399999997</v>
      </c>
      <c r="D9" s="15">
        <v>4138601.26</v>
      </c>
    </row>
    <row r="10" spans="1:4">
      <c r="A10" s="16" t="s">
        <v>92</v>
      </c>
      <c r="B10" s="17" t="s">
        <v>93</v>
      </c>
      <c r="C10" s="18">
        <f>2770845.65284178</f>
        <v>2770845.6528417799</v>
      </c>
      <c r="D10" s="19">
        <f>_67h_E12</f>
        <v>2770845.6528417799</v>
      </c>
    </row>
    <row r="11" spans="1:4" ht="24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615830.10999999987</v>
      </c>
      <c r="D15" s="15">
        <f>SUM(D16:D24)</f>
        <v>489263.04</v>
      </c>
    </row>
    <row r="16" spans="1:4">
      <c r="A16" s="22" t="s">
        <v>103</v>
      </c>
      <c r="B16" s="17" t="s">
        <v>104</v>
      </c>
      <c r="C16" s="111">
        <v>396107.16</v>
      </c>
      <c r="D16" s="113">
        <v>238003.38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124363.08</f>
        <v>124363.08</v>
      </c>
      <c r="D18" s="19">
        <f>155898.73</f>
        <v>155898.73000000001</v>
      </c>
    </row>
    <row r="19" spans="1:4">
      <c r="A19" s="22" t="s">
        <v>109</v>
      </c>
      <c r="B19" s="17" t="s">
        <v>110</v>
      </c>
      <c r="C19" s="18">
        <f>11195.2</f>
        <v>11195.2</v>
      </c>
      <c r="D19" s="19">
        <f>11202.72</f>
        <v>11202.72</v>
      </c>
    </row>
    <row r="20" spans="1:4">
      <c r="A20" s="22" t="s">
        <v>111</v>
      </c>
      <c r="B20" s="17" t="s">
        <v>112</v>
      </c>
      <c r="C20" s="18">
        <f>14748.84</f>
        <v>14748.84</v>
      </c>
      <c r="D20" s="19">
        <f>14742.38</f>
        <v>14742.38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69415.83</f>
        <v>69415.83</v>
      </c>
      <c r="D22" s="19">
        <f>69415.83</f>
        <v>69415.83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1778005.2099999997</v>
      </c>
      <c r="D25" s="15">
        <f>D26+D27+D30+D28+D29+D31</f>
        <v>1039731.29</v>
      </c>
    </row>
    <row r="26" spans="1:4" ht="22.5" customHeight="1">
      <c r="A26" s="24" t="s">
        <v>123</v>
      </c>
      <c r="B26" s="20" t="s">
        <v>124</v>
      </c>
      <c r="C26" s="18">
        <f>503388</f>
        <v>503388</v>
      </c>
      <c r="D26" s="19">
        <f>503388</f>
        <v>503388</v>
      </c>
    </row>
    <row r="27" spans="1:4" ht="37.5" customHeight="1">
      <c r="A27" s="24" t="s">
        <v>125</v>
      </c>
      <c r="B27" s="20" t="s">
        <v>126</v>
      </c>
      <c r="C27" s="18">
        <f>77293.44</f>
        <v>77293.440000000002</v>
      </c>
      <c r="D27" s="19">
        <f>77247.83</f>
        <v>77247.83</v>
      </c>
    </row>
    <row r="28" spans="1:4" ht="34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78111.72</f>
        <v>78111.72</v>
      </c>
      <c r="D29" s="19">
        <f>77428.89</f>
        <v>77428.89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1119212.0499999998</v>
      </c>
      <c r="D31" s="15">
        <f>SUM(D32:D39)</f>
        <v>381666.57</v>
      </c>
    </row>
    <row r="32" spans="1:4" ht="17.25" customHeight="1">
      <c r="A32" s="24" t="s">
        <v>135</v>
      </c>
      <c r="B32" s="17" t="s">
        <v>136</v>
      </c>
      <c r="C32" s="18">
        <f>114867.79</f>
        <v>114867.79</v>
      </c>
      <c r="D32" s="19">
        <f>114867.84</f>
        <v>114867.84</v>
      </c>
    </row>
    <row r="33" spans="1:4">
      <c r="A33" s="24" t="s">
        <v>137</v>
      </c>
      <c r="B33" s="17" t="s">
        <v>138</v>
      </c>
      <c r="C33" s="18">
        <f>104895.48</f>
        <v>104895.48</v>
      </c>
      <c r="D33" s="19">
        <f>89883.92</f>
        <v>89883.92</v>
      </c>
    </row>
    <row r="34" spans="1:4">
      <c r="A34" s="24" t="s">
        <v>139</v>
      </c>
      <c r="B34" s="17" t="s">
        <v>140</v>
      </c>
      <c r="C34" s="18">
        <f>174535.8</f>
        <v>174535.8</v>
      </c>
      <c r="D34" s="19">
        <f>176914.81</f>
        <v>176914.81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724912.98</f>
        <v>724912.98</v>
      </c>
      <c r="D39" s="19">
        <v>0</v>
      </c>
    </row>
    <row r="40" spans="1:4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1.7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46916.639999999999</v>
      </c>
      <c r="D45" s="27">
        <f>SUM(D46:D48)</f>
        <v>861180.46</v>
      </c>
    </row>
    <row r="46" spans="1:4">
      <c r="A46" s="21" t="s">
        <v>163</v>
      </c>
      <c r="B46" s="17" t="s">
        <v>164</v>
      </c>
      <c r="C46" s="18">
        <f>45265.8</f>
        <v>45265.8</v>
      </c>
      <c r="D46" s="19">
        <f>50148.5</f>
        <v>50148.5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809381.12</v>
      </c>
    </row>
    <row r="48" spans="1:4">
      <c r="A48" s="21" t="s">
        <v>166</v>
      </c>
      <c r="B48" s="17" t="s">
        <v>167</v>
      </c>
      <c r="C48" s="18">
        <f>1650.84</f>
        <v>1650.84</v>
      </c>
      <c r="D48" s="19">
        <f>1650.84</f>
        <v>1650.84</v>
      </c>
    </row>
    <row r="49" spans="1:4">
      <c r="A49" s="8" t="s">
        <v>440</v>
      </c>
      <c r="B49" s="28" t="s">
        <v>168</v>
      </c>
      <c r="C49" s="29">
        <f>528019.8</f>
        <v>528019.80000000005</v>
      </c>
      <c r="D49" s="30">
        <f>676596.35</f>
        <v>676596.35</v>
      </c>
    </row>
    <row r="50" spans="1:4">
      <c r="A50" s="8" t="s">
        <v>169</v>
      </c>
      <c r="B50" s="9" t="s">
        <v>170</v>
      </c>
      <c r="C50" s="14">
        <f>C8+C25+C40+C41+C42+C43+C44+C45+C49+C51+C52</f>
        <v>7205372.3999999994</v>
      </c>
      <c r="D50" s="15">
        <f>D8+D25+D40+D41+D42+D43+D44+D45+D49+D51+D52</f>
        <v>7205372.3999999994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4114203.78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4018261.5</f>
        <v>4018261.5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95942.28</f>
        <v>95942.28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2207742</f>
        <v>2207742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6321945.7799999993</v>
      </c>
      <c r="D59" s="27">
        <f>D54+D57+D58</f>
        <v>0</v>
      </c>
    </row>
    <row r="60" spans="1:4" ht="25.5">
      <c r="A60" s="33" t="s">
        <v>188</v>
      </c>
      <c r="B60" s="9"/>
      <c r="C60" s="34">
        <v>26746</v>
      </c>
      <c r="D60" s="35">
        <v>26746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F16" sqref="F16"/>
    </sheetView>
  </sheetViews>
  <sheetFormatPr defaultColWidth="11.7109375" defaultRowHeight="15"/>
  <cols>
    <col min="1" max="1" width="58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2.5" customHeight="1">
      <c r="A5" s="115" t="s">
        <v>83</v>
      </c>
      <c r="B5" s="117" t="s">
        <v>84</v>
      </c>
      <c r="C5" s="119" t="s">
        <v>314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52">
        <v>1177450.29</v>
      </c>
      <c r="D8" s="11">
        <f>D9+D11+D14+D15</f>
        <v>1141748.23</v>
      </c>
    </row>
    <row r="9" spans="1:4" ht="30">
      <c r="A9" s="12" t="s">
        <v>90</v>
      </c>
      <c r="B9" s="13" t="s">
        <v>91</v>
      </c>
      <c r="C9" s="53">
        <v>1030335.52</v>
      </c>
      <c r="D9" s="15">
        <f>1028520.5</f>
        <v>1028520.5</v>
      </c>
    </row>
    <row r="10" spans="1:4">
      <c r="A10" s="16" t="s">
        <v>92</v>
      </c>
      <c r="B10" s="17" t="s">
        <v>93</v>
      </c>
      <c r="C10" s="54">
        <v>662534.22427035298</v>
      </c>
      <c r="D10" s="19">
        <f>_68h_E12</f>
        <v>662534.22427035298</v>
      </c>
    </row>
    <row r="11" spans="1:4" ht="21" customHeight="1">
      <c r="A11" s="12" t="s">
        <v>94</v>
      </c>
      <c r="B11" s="20" t="s">
        <v>95</v>
      </c>
      <c r="C11" s="53"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54"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54"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54"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53">
        <v>147114.77000000002</v>
      </c>
      <c r="D15" s="15">
        <f>SUM(D16:D24)</f>
        <v>113227.73000000001</v>
      </c>
    </row>
    <row r="16" spans="1:4">
      <c r="A16" s="22" t="s">
        <v>103</v>
      </c>
      <c r="B16" s="17" t="s">
        <v>104</v>
      </c>
      <c r="C16" s="111">
        <v>97429.92</v>
      </c>
      <c r="D16" s="113">
        <v>57183.94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54">
        <v>25074.36</v>
      </c>
      <c r="D18" s="19">
        <f>31432.6</f>
        <v>31432.6</v>
      </c>
    </row>
    <row r="19" spans="1:4">
      <c r="A19" s="22" t="s">
        <v>109</v>
      </c>
      <c r="B19" s="17" t="s">
        <v>110</v>
      </c>
      <c r="C19" s="54">
        <v>3060.44</v>
      </c>
      <c r="D19" s="19">
        <f>3062.48</f>
        <v>3062.48</v>
      </c>
    </row>
    <row r="20" spans="1:4">
      <c r="A20" s="22" t="s">
        <v>111</v>
      </c>
      <c r="B20" s="17" t="s">
        <v>112</v>
      </c>
      <c r="C20" s="54">
        <v>3039.16</v>
      </c>
      <c r="D20" s="19">
        <f>3037.82</f>
        <v>3037.82</v>
      </c>
    </row>
    <row r="21" spans="1:4">
      <c r="A21" s="22" t="s">
        <v>113</v>
      </c>
      <c r="B21" s="17" t="s">
        <v>114</v>
      </c>
      <c r="C21" s="54"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54">
        <v>18510.89</v>
      </c>
      <c r="D22" s="19">
        <f>18510.89</f>
        <v>18510.89</v>
      </c>
    </row>
    <row r="23" spans="1:4">
      <c r="A23" s="22" t="s">
        <v>117</v>
      </c>
      <c r="B23" s="17" t="s">
        <v>118</v>
      </c>
      <c r="C23" s="54"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54"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53">
        <v>571387.17999999702</v>
      </c>
      <c r="D25" s="15">
        <f>D26+D27+D30+D28+D29+D31</f>
        <v>236017.45000000004</v>
      </c>
    </row>
    <row r="26" spans="1:4" ht="19.5" customHeight="1">
      <c r="A26" s="24" t="s">
        <v>123</v>
      </c>
      <c r="B26" s="20" t="s">
        <v>124</v>
      </c>
      <c r="C26" s="54">
        <v>134236.68</v>
      </c>
      <c r="D26" s="19">
        <f>134236.67</f>
        <v>134236.67000000001</v>
      </c>
    </row>
    <row r="27" spans="1:4" ht="45">
      <c r="A27" s="24" t="s">
        <v>125</v>
      </c>
      <c r="B27" s="20" t="s">
        <v>126</v>
      </c>
      <c r="C27" s="54">
        <v>20843.04</v>
      </c>
      <c r="D27" s="19">
        <f>20896.61</f>
        <v>20896.61</v>
      </c>
    </row>
    <row r="28" spans="1:4" ht="30.75" customHeight="1">
      <c r="A28" s="21" t="s">
        <v>127</v>
      </c>
      <c r="B28" s="20" t="s">
        <v>128</v>
      </c>
      <c r="C28" s="54"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54">
        <v>20829</v>
      </c>
      <c r="D29" s="19">
        <f>20646.88</f>
        <v>20646.88</v>
      </c>
    </row>
    <row r="30" spans="1:4">
      <c r="A30" s="21" t="s">
        <v>131</v>
      </c>
      <c r="B30" s="20" t="s">
        <v>132</v>
      </c>
      <c r="C30" s="54"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53">
        <v>395478.45999999699</v>
      </c>
      <c r="D31" s="15">
        <f>SUM(D32:D39)</f>
        <v>60237.29</v>
      </c>
    </row>
    <row r="32" spans="1:4" ht="18.75" customHeight="1">
      <c r="A32" s="24" t="s">
        <v>135</v>
      </c>
      <c r="B32" s="17" t="s">
        <v>136</v>
      </c>
      <c r="C32" s="54"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54">
        <v>28286.400000000001</v>
      </c>
      <c r="D33" s="19">
        <f>18311</f>
        <v>18311</v>
      </c>
    </row>
    <row r="34" spans="1:4">
      <c r="A34" s="24" t="s">
        <v>139</v>
      </c>
      <c r="B34" s="17" t="s">
        <v>140</v>
      </c>
      <c r="C34" s="54">
        <v>11177.64</v>
      </c>
      <c r="D34" s="19">
        <f>11294.88</f>
        <v>11294.88</v>
      </c>
    </row>
    <row r="35" spans="1:4">
      <c r="A35" s="24" t="s">
        <v>141</v>
      </c>
      <c r="B35" s="17" t="s">
        <v>142</v>
      </c>
      <c r="C35" s="54"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54"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54"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54"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54">
        <v>325383.00999999698</v>
      </c>
      <c r="D39" s="19">
        <f>0</f>
        <v>0</v>
      </c>
    </row>
    <row r="40" spans="1:4" ht="20.25" customHeight="1">
      <c r="A40" s="8" t="s">
        <v>151</v>
      </c>
      <c r="B40" s="9" t="s">
        <v>152</v>
      </c>
      <c r="C40" s="55"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55"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55">
        <v>0</v>
      </c>
      <c r="D42" s="27">
        <f>0</f>
        <v>0</v>
      </c>
    </row>
    <row r="43" spans="1:4" ht="18" customHeight="1">
      <c r="A43" s="8" t="s">
        <v>157</v>
      </c>
      <c r="B43" s="9" t="s">
        <v>158</v>
      </c>
      <c r="C43" s="55"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55"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55">
        <v>31724.09</v>
      </c>
      <c r="D45" s="27">
        <f>SUM(D46:D48)</f>
        <v>363177.6</v>
      </c>
    </row>
    <row r="46" spans="1:4">
      <c r="A46" s="21" t="s">
        <v>163</v>
      </c>
      <c r="B46" s="17" t="s">
        <v>164</v>
      </c>
      <c r="C46" s="54">
        <v>12070.32</v>
      </c>
      <c r="D46" s="19">
        <f>13372.26</f>
        <v>13372.26</v>
      </c>
    </row>
    <row r="47" spans="1:4">
      <c r="A47" s="21" t="s">
        <v>149</v>
      </c>
      <c r="B47" s="17" t="s">
        <v>165</v>
      </c>
      <c r="C47" s="54">
        <v>19213.61</v>
      </c>
      <c r="D47" s="19">
        <f>349365.18</f>
        <v>349365.18</v>
      </c>
    </row>
    <row r="48" spans="1:4">
      <c r="A48" s="21" t="s">
        <v>166</v>
      </c>
      <c r="B48" s="17" t="s">
        <v>167</v>
      </c>
      <c r="C48" s="54"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56">
        <v>140799.24</v>
      </c>
      <c r="D49" s="30">
        <f>180417.52</f>
        <v>180417.52</v>
      </c>
    </row>
    <row r="50" spans="1:4">
      <c r="A50" s="8" t="s">
        <v>169</v>
      </c>
      <c r="B50" s="9" t="s">
        <v>170</v>
      </c>
      <c r="C50" s="14">
        <f>C8+C25+C40+C41+C42+C43+C44+C45+C49+C51+C52</f>
        <v>1921360.799999997</v>
      </c>
      <c r="D50" s="15">
        <f>D8+D25+D40+D41+D42+D43+D44+D45+D49+D51+D52</f>
        <v>1921360.7999999998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1210618.6200000001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1161936.3</f>
        <v>1161936.3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48682.32</f>
        <v>48682.32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652212</f>
        <v>652212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1862830.62</v>
      </c>
      <c r="D59" s="27">
        <f>D54+D57+D58</f>
        <v>0</v>
      </c>
    </row>
    <row r="60" spans="1:4" ht="25.5">
      <c r="A60" s="33" t="s">
        <v>188</v>
      </c>
      <c r="B60" s="9"/>
      <c r="C60" s="34">
        <v>7132</v>
      </c>
      <c r="D60" s="35">
        <v>7132</v>
      </c>
    </row>
    <row r="61" spans="1:4" ht="15.75" thickBot="1">
      <c r="A61" s="36" t="s">
        <v>189</v>
      </c>
      <c r="B61" s="37"/>
      <c r="C61" s="38">
        <f>(C50+C51+C52)/C60/12</f>
        <v>22.449999999999964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D261"/>
  <sheetViews>
    <sheetView topLeftCell="A40" workbookViewId="0">
      <selection activeCell="D40" sqref="D40"/>
    </sheetView>
  </sheetViews>
  <sheetFormatPr defaultColWidth="11.7109375" defaultRowHeight="15"/>
  <cols>
    <col min="1" max="1" width="60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444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3682640.2800000003</v>
      </c>
      <c r="D8" s="11">
        <f>D9+D11+D14+D15</f>
        <v>3562654.49</v>
      </c>
    </row>
    <row r="9" spans="1:4" ht="30">
      <c r="A9" s="12" t="s">
        <v>90</v>
      </c>
      <c r="B9" s="13" t="s">
        <v>91</v>
      </c>
      <c r="C9" s="14">
        <f>3217763.2</f>
        <v>3217763.2</v>
      </c>
      <c r="D9" s="15">
        <f>3139514.87</f>
        <v>3139514.87</v>
      </c>
    </row>
    <row r="10" spans="1:4">
      <c r="A10" s="16" t="s">
        <v>92</v>
      </c>
      <c r="B10" s="17" t="s">
        <v>93</v>
      </c>
      <c r="C10" s="18">
        <f>2087215.14592934</f>
        <v>2087215.14592934</v>
      </c>
      <c r="D10" s="19">
        <f>_69h_E12</f>
        <v>2087215.14592934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464877.07999999996</v>
      </c>
      <c r="D15" s="15">
        <f>SUM(D16:D24)</f>
        <v>423139.62</v>
      </c>
    </row>
    <row r="16" spans="1:4">
      <c r="A16" s="22" t="s">
        <v>103</v>
      </c>
      <c r="B16" s="17" t="s">
        <v>104</v>
      </c>
      <c r="C16" s="111">
        <v>292290.36</v>
      </c>
      <c r="D16" s="113">
        <v>226536.58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94708.44</f>
        <v>94708.44</v>
      </c>
      <c r="D18" s="19">
        <f>118724.36</f>
        <v>118724.36</v>
      </c>
    </row>
    <row r="19" spans="1:4">
      <c r="A19" s="22" t="s">
        <v>109</v>
      </c>
      <c r="B19" s="17" t="s">
        <v>110</v>
      </c>
      <c r="C19" s="18">
        <f>9181.24</f>
        <v>9181.24</v>
      </c>
      <c r="D19" s="19">
        <f>9187.42</f>
        <v>9187.42</v>
      </c>
    </row>
    <row r="20" spans="1:4">
      <c r="A20" s="22" t="s">
        <v>111</v>
      </c>
      <c r="B20" s="17" t="s">
        <v>112</v>
      </c>
      <c r="C20" s="18">
        <f>13164.38</f>
        <v>13164.38</v>
      </c>
      <c r="D20" s="19">
        <f>13158.6</f>
        <v>13158.6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55532.66</f>
        <v>55532.66</v>
      </c>
      <c r="D22" s="19">
        <f>55532.66</f>
        <v>55532.66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1590514.4400000279</v>
      </c>
      <c r="D25" s="15">
        <f>D26+D27+D30+D28+D29+D31</f>
        <v>873404.41999999993</v>
      </c>
    </row>
    <row r="26" spans="1:4" ht="22.5" customHeight="1">
      <c r="A26" s="24" t="s">
        <v>123</v>
      </c>
      <c r="B26" s="20" t="s">
        <v>124</v>
      </c>
      <c r="C26" s="18">
        <f>523523.52</f>
        <v>523523.52</v>
      </c>
      <c r="D26" s="19">
        <f>521705.73</f>
        <v>521705.73</v>
      </c>
    </row>
    <row r="27" spans="1:4" ht="33" customHeight="1">
      <c r="A27" s="24" t="s">
        <v>125</v>
      </c>
      <c r="B27" s="20" t="s">
        <v>126</v>
      </c>
      <c r="C27" s="18">
        <f>61371.48</f>
        <v>61371.48</v>
      </c>
      <c r="D27" s="19">
        <f>61379.19</f>
        <v>61379.19</v>
      </c>
    </row>
    <row r="28" spans="1:4" ht="32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62121.96</f>
        <v>62121.96</v>
      </c>
      <c r="D29" s="19">
        <f>61578.87</f>
        <v>61578.87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943497.48000002792</v>
      </c>
      <c r="D31" s="15">
        <f>SUM(D32:D39)</f>
        <v>228740.63</v>
      </c>
    </row>
    <row r="32" spans="1:4" ht="21" customHeight="1">
      <c r="A32" s="24" t="s">
        <v>135</v>
      </c>
      <c r="B32" s="17" t="s">
        <v>136</v>
      </c>
      <c r="C32" s="18">
        <f>131894.23</f>
        <v>131894.23000000001</v>
      </c>
      <c r="D32" s="19">
        <f>131894.28</f>
        <v>131894.28</v>
      </c>
    </row>
    <row r="33" spans="1:4">
      <c r="A33" s="24" t="s">
        <v>137</v>
      </c>
      <c r="B33" s="17" t="s">
        <v>138</v>
      </c>
      <c r="C33" s="18">
        <f>83287.8</f>
        <v>83287.8</v>
      </c>
      <c r="D33" s="19">
        <f>63065.34</f>
        <v>63065.34</v>
      </c>
    </row>
    <row r="34" spans="1:4">
      <c r="A34" s="24" t="s">
        <v>139</v>
      </c>
      <c r="B34" s="17" t="s">
        <v>140</v>
      </c>
      <c r="C34" s="18">
        <f>33430.44</f>
        <v>33430.44</v>
      </c>
      <c r="D34" s="19">
        <f>33781.01</f>
        <v>33781.01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694885.010000028</f>
        <v>694885.01000002795</v>
      </c>
      <c r="D39" s="19"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37320.480000000003</v>
      </c>
      <c r="D45" s="27">
        <f>SUM(D46:D48)</f>
        <v>756254.14999999991</v>
      </c>
    </row>
    <row r="46" spans="1:4">
      <c r="A46" s="21" t="s">
        <v>163</v>
      </c>
      <c r="B46" s="17" t="s">
        <v>164</v>
      </c>
      <c r="C46" s="18">
        <f>35999.76</f>
        <v>35999.760000000002</v>
      </c>
      <c r="D46" s="19">
        <f>39882.98</f>
        <v>39882.980000000003</v>
      </c>
    </row>
    <row r="47" spans="1:4" ht="30">
      <c r="A47" s="88" t="s">
        <v>504</v>
      </c>
      <c r="B47" s="17" t="s">
        <v>165</v>
      </c>
      <c r="C47" s="18">
        <f>0</f>
        <v>0</v>
      </c>
      <c r="D47" s="19">
        <v>715050.45</v>
      </c>
    </row>
    <row r="48" spans="1:4">
      <c r="A48" s="21" t="s">
        <v>166</v>
      </c>
      <c r="B48" s="17" t="s">
        <v>167</v>
      </c>
      <c r="C48" s="18">
        <f>1320.72</f>
        <v>1320.72</v>
      </c>
      <c r="D48" s="19">
        <f>1320.72</f>
        <v>1320.72</v>
      </c>
    </row>
    <row r="49" spans="1:4">
      <c r="A49" s="8" t="s">
        <v>440</v>
      </c>
      <c r="B49" s="28" t="s">
        <v>168</v>
      </c>
      <c r="C49" s="29">
        <f>419932.2</f>
        <v>419932.2</v>
      </c>
      <c r="D49" s="30">
        <f>538094.34</f>
        <v>538094.34</v>
      </c>
    </row>
    <row r="50" spans="1:4">
      <c r="A50" s="8" t="s">
        <v>169</v>
      </c>
      <c r="B50" s="9" t="s">
        <v>170</v>
      </c>
      <c r="C50" s="14">
        <f>C8+C25+C40+C41+C42+C43+C44+C45+C49+C51+C52</f>
        <v>5730407.4000000292</v>
      </c>
      <c r="D50" s="15">
        <f>D8+D25+D40+D41+D42+D43+D44+D45+D49+D51+D52</f>
        <v>5730407.4000000004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3226514.7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3168967.5</f>
        <v>3168967.5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57547.2</f>
        <v>57547.199999999997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1734300</f>
        <v>1734300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4960814.7</v>
      </c>
      <c r="D59" s="27">
        <f>D54+D57+D58</f>
        <v>0</v>
      </c>
    </row>
    <row r="60" spans="1:4" ht="25.5">
      <c r="A60" s="33" t="s">
        <v>188</v>
      </c>
      <c r="B60" s="9"/>
      <c r="C60" s="34">
        <v>21271</v>
      </c>
      <c r="D60" s="35">
        <v>21271</v>
      </c>
    </row>
    <row r="61" spans="1:4" ht="15.75" thickBot="1">
      <c r="A61" s="36" t="s">
        <v>189</v>
      </c>
      <c r="B61" s="37"/>
      <c r="C61" s="38">
        <f>(C50+C51+C52)/C60/12</f>
        <v>22.450000000000117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sqref="A1:D68"/>
    </sheetView>
  </sheetViews>
  <sheetFormatPr defaultColWidth="11.7109375" defaultRowHeight="15"/>
  <cols>
    <col min="1" max="1" width="60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200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2422841.38</v>
      </c>
      <c r="D8" s="11">
        <f>D9+D11+D14+D15</f>
        <v>2480420.63</v>
      </c>
    </row>
    <row r="9" spans="1:4" ht="30">
      <c r="A9" s="12" t="s">
        <v>90</v>
      </c>
      <c r="B9" s="13" t="s">
        <v>91</v>
      </c>
      <c r="C9" s="14">
        <f>2249311.17</f>
        <v>2249311.17</v>
      </c>
      <c r="D9" s="15">
        <f>2210407.38</f>
        <v>2210407.38</v>
      </c>
    </row>
    <row r="10" spans="1:4">
      <c r="A10" s="16" t="s">
        <v>92</v>
      </c>
      <c r="B10" s="17" t="s">
        <v>93</v>
      </c>
      <c r="C10" s="18">
        <f>1488268.82488479</f>
        <v>1488268.82488479</v>
      </c>
      <c r="D10" s="19">
        <f>_7h_E12</f>
        <v>1488268.82488479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5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173530.21</v>
      </c>
      <c r="D15" s="15">
        <f>SUM(D16:D24)</f>
        <v>270013.25</v>
      </c>
    </row>
    <row r="16" spans="1:4">
      <c r="A16" s="22" t="s">
        <v>103</v>
      </c>
      <c r="B16" s="17" t="s">
        <v>104</v>
      </c>
      <c r="C16" s="111">
        <v>134649.12</v>
      </c>
      <c r="D16" s="113">
        <v>235752.67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29272.47</f>
        <v>29272.47</v>
      </c>
      <c r="D18" s="19">
        <f>24649.97</f>
        <v>24649.97</v>
      </c>
    </row>
    <row r="19" spans="1:4">
      <c r="A19" s="22" t="s">
        <v>109</v>
      </c>
      <c r="B19" s="17" t="s">
        <v>110</v>
      </c>
      <c r="C19" s="18">
        <f>5667.9</f>
        <v>5667.9</v>
      </c>
      <c r="D19" s="19">
        <f>5671.7</f>
        <v>5671.7</v>
      </c>
    </row>
    <row r="20" spans="1:4">
      <c r="A20" s="22" t="s">
        <v>111</v>
      </c>
      <c r="B20" s="17" t="s">
        <v>112</v>
      </c>
      <c r="C20" s="18">
        <f>3940.72</f>
        <v>3940.72</v>
      </c>
      <c r="D20" s="19">
        <f>3938.91</f>
        <v>3938.91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800795.92999999993</v>
      </c>
      <c r="D25" s="15">
        <f>D26+D27+D30+D28+D29+D31</f>
        <v>781731.73</v>
      </c>
    </row>
    <row r="26" spans="1:4" ht="22.5" customHeight="1">
      <c r="A26" s="24" t="s">
        <v>123</v>
      </c>
      <c r="B26" s="20" t="s">
        <v>124</v>
      </c>
      <c r="C26" s="18">
        <f>353773.44</f>
        <v>353773.44</v>
      </c>
      <c r="D26" s="19">
        <f>342718</f>
        <v>342718</v>
      </c>
    </row>
    <row r="27" spans="1:4" ht="36.75" customHeight="1">
      <c r="A27" s="24" t="s">
        <v>125</v>
      </c>
      <c r="B27" s="20" t="s">
        <v>126</v>
      </c>
      <c r="C27" s="18">
        <f>36475.56</f>
        <v>36475.56</v>
      </c>
      <c r="D27" s="19">
        <f>36437.61</f>
        <v>36437.61</v>
      </c>
    </row>
    <row r="28" spans="1:4" ht="33" customHeight="1">
      <c r="A28" s="21" t="s">
        <v>127</v>
      </c>
      <c r="B28" s="20" t="s">
        <v>128</v>
      </c>
      <c r="C28" s="18">
        <f>190080</f>
        <v>190080</v>
      </c>
      <c r="D28" s="19">
        <f>190079.88</f>
        <v>190079.88</v>
      </c>
    </row>
    <row r="29" spans="1:4">
      <c r="A29" s="21" t="s">
        <v>129</v>
      </c>
      <c r="B29" s="20" t="s">
        <v>130</v>
      </c>
      <c r="C29" s="18">
        <f>38097.84</f>
        <v>38097.839999999997</v>
      </c>
      <c r="D29" s="19">
        <f>37089.04</f>
        <v>37089.040000000001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182369.09</v>
      </c>
      <c r="D31" s="15">
        <f>SUM(D32:D39)</f>
        <v>175407.2</v>
      </c>
    </row>
    <row r="32" spans="1:4" ht="21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49501.2</f>
        <v>49501.2</v>
      </c>
      <c r="D33" s="19">
        <f>43595.03</f>
        <v>43595.03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47654.37</f>
        <v>47654.37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76500</f>
        <v>76500</v>
      </c>
      <c r="D37" s="19">
        <f>76500</f>
        <v>76500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0</f>
        <v>0</v>
      </c>
      <c r="D39" s="19">
        <f>0</f>
        <v>0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33151.89</v>
      </c>
      <c r="D45" s="27">
        <f>SUM(D46:D48)</f>
        <v>28155.64</v>
      </c>
    </row>
    <row r="46" spans="1:4">
      <c r="A46" s="21" t="s">
        <v>163</v>
      </c>
      <c r="B46" s="17" t="s">
        <v>164</v>
      </c>
      <c r="C46" s="18">
        <f>22077.72</f>
        <v>22077.72</v>
      </c>
      <c r="D46" s="19">
        <f>17081.47</f>
        <v>17081.47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11074.17</f>
        <v>11074.17</v>
      </c>
      <c r="D48" s="19">
        <f>11074.17</f>
        <v>11074.17</v>
      </c>
    </row>
    <row r="49" spans="1:4">
      <c r="A49" s="8" t="s">
        <v>440</v>
      </c>
      <c r="B49" s="28" t="s">
        <v>168</v>
      </c>
      <c r="C49" s="29">
        <f>257533.8</f>
        <v>257533.8</v>
      </c>
      <c r="D49" s="30">
        <f>224015</f>
        <v>224015</v>
      </c>
    </row>
    <row r="50" spans="1:4">
      <c r="A50" s="8" t="s">
        <v>169</v>
      </c>
      <c r="B50" s="9" t="s">
        <v>170</v>
      </c>
      <c r="C50" s="14">
        <f>C8+C25+C40+C41+C42+C43+C44+C45+C49+C51+C52</f>
        <v>3514322.9999999995</v>
      </c>
      <c r="D50" s="15">
        <f>D8+D25+D40+D41+D42+D43+D44+D45+D49+D51+D52</f>
        <v>3514323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1972113.18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1907972.22</f>
        <v>1907972.22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64140.96</f>
        <v>64140.959999999999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991962</f>
        <v>991962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2964075.1799999997</v>
      </c>
      <c r="D59" s="27">
        <f>D54+D57+D58</f>
        <v>0</v>
      </c>
    </row>
    <row r="60" spans="1:4" ht="25.5">
      <c r="A60" s="33" t="s">
        <v>188</v>
      </c>
      <c r="B60" s="9"/>
      <c r="C60" s="34">
        <v>13045</v>
      </c>
      <c r="D60" s="35">
        <v>13045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D261"/>
  <sheetViews>
    <sheetView tabSelected="1" workbookViewId="0">
      <selection activeCell="E47" sqref="E47"/>
    </sheetView>
  </sheetViews>
  <sheetFormatPr defaultColWidth="11.7109375" defaultRowHeight="15"/>
  <cols>
    <col min="1" max="1" width="59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317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4894842.16</v>
      </c>
      <c r="D8" s="11">
        <f>D9+D11+D14+D15</f>
        <v>4756190.84</v>
      </c>
    </row>
    <row r="9" spans="1:4" ht="30">
      <c r="A9" s="12" t="s">
        <v>90</v>
      </c>
      <c r="B9" s="13" t="s">
        <v>91</v>
      </c>
      <c r="C9" s="14">
        <f>4282284.83</f>
        <v>4282284.83</v>
      </c>
      <c r="D9" s="15">
        <f>4204160.79</f>
        <v>4204160.79</v>
      </c>
    </row>
    <row r="10" spans="1:4">
      <c r="A10" s="16" t="s">
        <v>92</v>
      </c>
      <c r="B10" s="17" t="s">
        <v>93</v>
      </c>
      <c r="C10" s="18">
        <f>2778480.08448541</f>
        <v>2778480.0844854098</v>
      </c>
      <c r="D10" s="19">
        <f>_70h_E12</f>
        <v>2778480.0844854098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612557.33000000007</v>
      </c>
      <c r="D15" s="15">
        <f>SUM(D16:D24)</f>
        <v>552030.05000000005</v>
      </c>
    </row>
    <row r="16" spans="1:4">
      <c r="A16" s="22" t="s">
        <v>103</v>
      </c>
      <c r="B16" s="17" t="s">
        <v>104</v>
      </c>
      <c r="C16" s="111">
        <v>390383.4</v>
      </c>
      <c r="D16" s="113">
        <v>199402.14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120093.48</f>
        <v>120093.48</v>
      </c>
      <c r="D18" s="19">
        <f>250546.43</f>
        <v>250546.43</v>
      </c>
    </row>
    <row r="19" spans="1:4">
      <c r="A19" s="22" t="s">
        <v>109</v>
      </c>
      <c r="B19" s="17" t="s">
        <v>110</v>
      </c>
      <c r="C19" s="18">
        <f>12062.14</f>
        <v>12062.14</v>
      </c>
      <c r="D19" s="19">
        <f>12070.24</f>
        <v>12070.24</v>
      </c>
    </row>
    <row r="20" spans="1:4">
      <c r="A20" s="22" t="s">
        <v>111</v>
      </c>
      <c r="B20" s="17" t="s">
        <v>112</v>
      </c>
      <c r="C20" s="18">
        <f>15974.76</f>
        <v>15974.76</v>
      </c>
      <c r="D20" s="19">
        <f>15967.69</f>
        <v>15967.69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74043.55</f>
        <v>74043.55</v>
      </c>
      <c r="D22" s="19">
        <f>74043.55</f>
        <v>74043.55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2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2100126.8499999996</v>
      </c>
      <c r="D25" s="15">
        <f>D26+D27+D30+D28+D29+D31</f>
        <v>1107957.0699999998</v>
      </c>
    </row>
    <row r="26" spans="1:4" ht="21.75" customHeight="1">
      <c r="A26" s="24" t="s">
        <v>123</v>
      </c>
      <c r="B26" s="20" t="s">
        <v>124</v>
      </c>
      <c r="C26" s="18">
        <f>536947.2</f>
        <v>536947.19999999995</v>
      </c>
      <c r="D26" s="19">
        <f>536947.2</f>
        <v>536947.19999999995</v>
      </c>
    </row>
    <row r="27" spans="1:4" ht="45">
      <c r="A27" s="24" t="s">
        <v>125</v>
      </c>
      <c r="B27" s="20" t="s">
        <v>126</v>
      </c>
      <c r="C27" s="18">
        <f>82504.2</f>
        <v>82504.2</v>
      </c>
      <c r="D27" s="19">
        <f>82603.46</f>
        <v>82603.460000000006</v>
      </c>
    </row>
    <row r="28" spans="1:4" ht="35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82550.88</f>
        <v>82550.880000000005</v>
      </c>
      <c r="D29" s="19">
        <f>81829.24</f>
        <v>81829.240000000005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1398124.5699999998</v>
      </c>
      <c r="D31" s="15">
        <f>SUM(D32:D39)</f>
        <v>406577.17</v>
      </c>
    </row>
    <row r="32" spans="1:4" ht="20.25" customHeight="1">
      <c r="A32" s="24" t="s">
        <v>135</v>
      </c>
      <c r="B32" s="17" t="s">
        <v>136</v>
      </c>
      <c r="C32" s="18">
        <f>122525.65</f>
        <v>122525.65</v>
      </c>
      <c r="D32" s="19">
        <f>122525.7</f>
        <v>122525.7</v>
      </c>
    </row>
    <row r="33" spans="1:4">
      <c r="A33" s="24" t="s">
        <v>137</v>
      </c>
      <c r="B33" s="17" t="s">
        <v>138</v>
      </c>
      <c r="C33" s="18">
        <f>129924.83</f>
        <v>129924.83</v>
      </c>
      <c r="D33" s="19">
        <f>93689.48</f>
        <v>93689.48</v>
      </c>
    </row>
    <row r="34" spans="1:4">
      <c r="A34" s="24" t="s">
        <v>139</v>
      </c>
      <c r="B34" s="17" t="s">
        <v>140</v>
      </c>
      <c r="C34" s="18">
        <f>188174.64</f>
        <v>188174.64</v>
      </c>
      <c r="D34" s="19">
        <f>190361.99</f>
        <v>190361.99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957499.45</v>
      </c>
      <c r="D39" s="19">
        <v>0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61863.79</v>
      </c>
      <c r="D45" s="27">
        <f>SUM(D46:D48)</f>
        <v>1035664.6900000001</v>
      </c>
    </row>
    <row r="46" spans="1:4">
      <c r="A46" s="21" t="s">
        <v>163</v>
      </c>
      <c r="B46" s="17" t="s">
        <v>164</v>
      </c>
      <c r="C46" s="18">
        <f>47838.36</f>
        <v>47838.36</v>
      </c>
      <c r="D46" s="19">
        <f>52998.59</f>
        <v>52998.59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968640.67</v>
      </c>
    </row>
    <row r="48" spans="1:4">
      <c r="A48" s="21" t="s">
        <v>166</v>
      </c>
      <c r="B48" s="17" t="s">
        <v>167</v>
      </c>
      <c r="C48" s="18">
        <v>14025.43</v>
      </c>
      <c r="D48" s="19">
        <v>14025.43</v>
      </c>
    </row>
    <row r="49" spans="1:4">
      <c r="A49" s="8" t="s">
        <v>440</v>
      </c>
      <c r="B49" s="28" t="s">
        <v>168</v>
      </c>
      <c r="C49" s="29">
        <f>558027.6</f>
        <v>558027.6</v>
      </c>
      <c r="D49" s="30">
        <f>715047.8</f>
        <v>715047.8</v>
      </c>
    </row>
    <row r="50" spans="1:4">
      <c r="A50" s="8" t="s">
        <v>169</v>
      </c>
      <c r="B50" s="9" t="s">
        <v>170</v>
      </c>
      <c r="C50" s="14">
        <f>C8+C25+C40+C41+C42+C43+C44+C45+C49+C51+C52</f>
        <v>7614860.3999999994</v>
      </c>
      <c r="D50" s="15">
        <f>D8+D25+D40+D41+D42+D43+D44+D45+D49+D51+D52</f>
        <v>7614860.4000000004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4374792.0599999996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4271299.38</f>
        <v>4271299.38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103492.68</f>
        <v>103492.68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2351460</f>
        <v>2351460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6726252.0599999996</v>
      </c>
      <c r="D59" s="27">
        <f>D54+D57+D58</f>
        <v>0</v>
      </c>
    </row>
    <row r="60" spans="1:4" ht="25.5">
      <c r="A60" s="33" t="s">
        <v>188</v>
      </c>
      <c r="B60" s="9"/>
      <c r="C60" s="34">
        <v>28266</v>
      </c>
      <c r="D60" s="35">
        <v>28266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A39" sqref="A39"/>
    </sheetView>
  </sheetViews>
  <sheetFormatPr defaultColWidth="11.7109375" defaultRowHeight="15"/>
  <cols>
    <col min="1" max="1" width="59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319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7602227.5899999999</v>
      </c>
      <c r="D8" s="11">
        <f>D9+D11+D14+D15</f>
        <v>7428268.1200000001</v>
      </c>
    </row>
    <row r="9" spans="1:4" ht="30">
      <c r="A9" s="12" t="s">
        <v>90</v>
      </c>
      <c r="B9" s="13" t="s">
        <v>91</v>
      </c>
      <c r="C9" s="14">
        <f>6567064.09</f>
        <v>6567064.0899999999</v>
      </c>
      <c r="D9" s="15">
        <f>6415132.84</f>
        <v>6415132.8399999999</v>
      </c>
    </row>
    <row r="10" spans="1:4">
      <c r="A10" s="16" t="s">
        <v>92</v>
      </c>
      <c r="B10" s="17" t="s">
        <v>93</v>
      </c>
      <c r="C10" s="18">
        <f>4096352.6344086</f>
        <v>4096352.6344086002</v>
      </c>
      <c r="D10" s="19">
        <f>_71h_E12</f>
        <v>4096352.6344086002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1035163.5</v>
      </c>
      <c r="D15" s="15">
        <f>SUM(D16:D24)</f>
        <v>1013135.28</v>
      </c>
    </row>
    <row r="16" spans="1:4">
      <c r="A16" s="22" t="s">
        <v>103</v>
      </c>
      <c r="B16" s="17" t="s">
        <v>104</v>
      </c>
      <c r="C16" s="111">
        <v>830845.43999999994</v>
      </c>
      <c r="D16" s="113">
        <v>769101.86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156579.48</f>
        <v>156579.48000000001</v>
      </c>
      <c r="D18" s="19">
        <f>196284.51</f>
        <v>196284.51</v>
      </c>
    </row>
    <row r="19" spans="1:4">
      <c r="A19" s="22" t="s">
        <v>109</v>
      </c>
      <c r="B19" s="17" t="s">
        <v>110</v>
      </c>
      <c r="C19" s="18">
        <f>28109.9</f>
        <v>28109.9</v>
      </c>
      <c r="D19" s="19">
        <f>28128.78</f>
        <v>28128.78</v>
      </c>
    </row>
    <row r="20" spans="1:4">
      <c r="A20" s="22" t="s">
        <v>111</v>
      </c>
      <c r="B20" s="17" t="s">
        <v>112</v>
      </c>
      <c r="C20" s="18">
        <f>19628.68</f>
        <v>19628.68</v>
      </c>
      <c r="D20" s="19">
        <f>19620.13</f>
        <v>19620.13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4189116.7699999996</v>
      </c>
      <c r="D25" s="15">
        <f>D26+D27+D30+D28+D29+D31</f>
        <v>4090176.2800000003</v>
      </c>
    </row>
    <row r="26" spans="1:4" ht="21" customHeight="1">
      <c r="A26" s="24" t="s">
        <v>123</v>
      </c>
      <c r="B26" s="20" t="s">
        <v>124</v>
      </c>
      <c r="C26" s="18">
        <f>2068856.76</f>
        <v>2068856.76</v>
      </c>
      <c r="D26" s="19">
        <f>2052864.84</f>
        <v>2052864.84</v>
      </c>
    </row>
    <row r="27" spans="1:4" ht="45">
      <c r="A27" s="24" t="s">
        <v>125</v>
      </c>
      <c r="B27" s="20" t="s">
        <v>126</v>
      </c>
      <c r="C27" s="18">
        <f>107834.52</f>
        <v>107834.52</v>
      </c>
      <c r="D27" s="19">
        <f>107872.69</f>
        <v>107872.69</v>
      </c>
    </row>
    <row r="28" spans="1:4" ht="34.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138907.8</f>
        <v>138907.79999999999</v>
      </c>
      <c r="D29" s="19">
        <f>137693.38</f>
        <v>137693.38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1056605.69</v>
      </c>
      <c r="D31" s="15">
        <f>SUM(D32:D39)</f>
        <v>974833.37</v>
      </c>
    </row>
    <row r="32" spans="1:4" ht="20.25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146343</f>
        <v>146343</v>
      </c>
      <c r="D33" s="19">
        <f>132182.71</f>
        <v>132182.71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256948.62</f>
        <v>256948.62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2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481</v>
      </c>
      <c r="B39" s="17" t="s">
        <v>150</v>
      </c>
      <c r="C39" s="18">
        <f>556872.38</f>
        <v>556872.38</v>
      </c>
      <c r="D39" s="19">
        <f>493807.77</f>
        <v>493807.77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83138.52</v>
      </c>
      <c r="D45" s="27">
        <f>SUM(D46:D48)</f>
        <v>91821.55</v>
      </c>
    </row>
    <row r="46" spans="1:4">
      <c r="A46" s="21" t="s">
        <v>163</v>
      </c>
      <c r="B46" s="17" t="s">
        <v>164</v>
      </c>
      <c r="C46" s="18">
        <f>80497.2</f>
        <v>80497.2</v>
      </c>
      <c r="D46" s="19">
        <f>89180.23</f>
        <v>89180.23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938989.32</f>
        <v>938989.32</v>
      </c>
      <c r="D49" s="30">
        <f>1203206.25</f>
        <v>1203206.25</v>
      </c>
    </row>
    <row r="50" spans="1:4">
      <c r="A50" s="8" t="s">
        <v>169</v>
      </c>
      <c r="B50" s="9" t="s">
        <v>170</v>
      </c>
      <c r="C50" s="14">
        <f>C8+C25+C40+C41+C42+C43+C44+C45+C49+C51+C52</f>
        <v>12813472.199999999</v>
      </c>
      <c r="D50" s="15">
        <f>D8+D25+D40+D41+D42+D43+D44+D45+D49+D51+D52</f>
        <v>12813472.200000001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7696296.6600000001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7168648.5</f>
        <v>7168648.5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527648.16</f>
        <v>527648.16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3853806</f>
        <v>3853806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11550102.66</v>
      </c>
      <c r="D59" s="27">
        <f>D54+D57+D58</f>
        <v>0</v>
      </c>
    </row>
    <row r="60" spans="1:4" ht="25.5">
      <c r="A60" s="33" t="s">
        <v>188</v>
      </c>
      <c r="B60" s="9"/>
      <c r="C60" s="34">
        <v>47563</v>
      </c>
      <c r="D60" s="35">
        <v>47563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E39" sqref="E39"/>
    </sheetView>
  </sheetViews>
  <sheetFormatPr defaultColWidth="11.7109375" defaultRowHeight="15"/>
  <cols>
    <col min="1" max="1" width="64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321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4403433.09</v>
      </c>
      <c r="D8" s="11">
        <f>D9+D11+D14+D15</f>
        <v>4134737.14</v>
      </c>
    </row>
    <row r="9" spans="1:4" ht="30">
      <c r="A9" s="12" t="s">
        <v>90</v>
      </c>
      <c r="B9" s="13" t="s">
        <v>91</v>
      </c>
      <c r="C9" s="14">
        <f>3861708.85</f>
        <v>3861708.85</v>
      </c>
      <c r="D9" s="15">
        <v>3758756.1</v>
      </c>
    </row>
    <row r="10" spans="1:4">
      <c r="A10" s="16" t="s">
        <v>92</v>
      </c>
      <c r="B10" s="17" t="s">
        <v>93</v>
      </c>
      <c r="C10" s="18">
        <f>2473728.57910906</f>
        <v>2473728.5791090601</v>
      </c>
      <c r="D10" s="19">
        <f>_72h_E12</f>
        <v>2473728.5791090601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541724.24</v>
      </c>
      <c r="D15" s="15">
        <f>SUM(D16:D24)</f>
        <v>375981.04</v>
      </c>
    </row>
    <row r="16" spans="1:4">
      <c r="A16" s="22" t="s">
        <v>103</v>
      </c>
      <c r="B16" s="17" t="s">
        <v>104</v>
      </c>
      <c r="C16" s="111">
        <v>353303.03999999998</v>
      </c>
      <c r="D16" s="113">
        <v>162322.5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99521.52</f>
        <v>99521.52</v>
      </c>
      <c r="D18" s="19">
        <f>124757.92</f>
        <v>124757.92</v>
      </c>
    </row>
    <row r="19" spans="1:4">
      <c r="A19" s="22" t="s">
        <v>109</v>
      </c>
      <c r="B19" s="17" t="s">
        <v>110</v>
      </c>
      <c r="C19" s="18">
        <f>10366.74</f>
        <v>10366.74</v>
      </c>
      <c r="D19" s="19">
        <f>10373.7</f>
        <v>10373.700000000001</v>
      </c>
    </row>
    <row r="20" spans="1:4">
      <c r="A20" s="22" t="s">
        <v>111</v>
      </c>
      <c r="B20" s="17" t="s">
        <v>112</v>
      </c>
      <c r="C20" s="18">
        <f>13744.84</f>
        <v>13744.84</v>
      </c>
      <c r="D20" s="19">
        <f>13738.82</f>
        <v>13738.82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64788.1</f>
        <v>64788.1</v>
      </c>
      <c r="D22" s="19">
        <f>64788.1</f>
        <v>64788.1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1722476.2500000042</v>
      </c>
      <c r="D25" s="15">
        <f>D26+D27+D30+D28+D29+D31</f>
        <v>1242593.77</v>
      </c>
    </row>
    <row r="26" spans="1:4" ht="21.75" customHeight="1">
      <c r="A26" s="24" t="s">
        <v>123</v>
      </c>
      <c r="B26" s="20" t="s">
        <v>124</v>
      </c>
      <c r="C26" s="18">
        <f>763471.8</f>
        <v>763471.8</v>
      </c>
      <c r="D26" s="19">
        <f>763017.36</f>
        <v>763017.36</v>
      </c>
    </row>
    <row r="27" spans="1:4" ht="32.25" customHeight="1">
      <c r="A27" s="24" t="s">
        <v>125</v>
      </c>
      <c r="B27" s="20" t="s">
        <v>126</v>
      </c>
      <c r="C27" s="18">
        <f>71648.28</f>
        <v>71648.28</v>
      </c>
      <c r="D27" s="19">
        <f>71564.52</f>
        <v>71564.52</v>
      </c>
    </row>
    <row r="28" spans="1:4" ht="29.2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72168.48</f>
        <v>72168.479999999996</v>
      </c>
      <c r="D29" s="19">
        <f>71537.54</f>
        <v>71537.539999999994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815187.69000000402</v>
      </c>
      <c r="D31" s="15">
        <f>SUM(D32:D39)</f>
        <v>336474.35000000003</v>
      </c>
    </row>
    <row r="32" spans="1:4" ht="18.75" customHeight="1">
      <c r="A32" s="24" t="s">
        <v>135</v>
      </c>
      <c r="B32" s="17" t="s">
        <v>136</v>
      </c>
      <c r="C32" s="18">
        <f>107209.94</f>
        <v>107209.94</v>
      </c>
      <c r="D32" s="19">
        <f>107209.99</f>
        <v>107209.99</v>
      </c>
    </row>
    <row r="33" spans="1:4">
      <c r="A33" s="24" t="s">
        <v>137</v>
      </c>
      <c r="B33" s="17" t="s">
        <v>138</v>
      </c>
      <c r="C33" s="18">
        <f>97234.56</f>
        <v>97234.559999999998</v>
      </c>
      <c r="D33" s="19">
        <f>71884.1</f>
        <v>71884.100000000006</v>
      </c>
    </row>
    <row r="34" spans="1:4">
      <c r="A34" s="24" t="s">
        <v>139</v>
      </c>
      <c r="B34" s="17" t="s">
        <v>140</v>
      </c>
      <c r="C34" s="18">
        <f>156128.52</f>
        <v>156128.51999999999</v>
      </c>
      <c r="D34" s="19">
        <f>157380.26</f>
        <v>157380.26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454614.670000004</f>
        <v>454614.670000004</v>
      </c>
      <c r="D39" s="19"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1.7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43362.48</v>
      </c>
      <c r="D45" s="27">
        <f>SUM(D46:D48)</f>
        <v>654669.06000000006</v>
      </c>
    </row>
    <row r="46" spans="1:4">
      <c r="A46" s="21" t="s">
        <v>163</v>
      </c>
      <c r="B46" s="17" t="s">
        <v>164</v>
      </c>
      <c r="C46" s="18">
        <f>41821.68</f>
        <v>41821.68</v>
      </c>
      <c r="D46" s="19">
        <f>46332.88</f>
        <v>46332.88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606795.38</v>
      </c>
    </row>
    <row r="48" spans="1:4">
      <c r="A48" s="21" t="s">
        <v>166</v>
      </c>
      <c r="B48" s="17" t="s">
        <v>167</v>
      </c>
      <c r="C48" s="18">
        <f>1540.8</f>
        <v>1540.8</v>
      </c>
      <c r="D48" s="19">
        <f>1540.8</f>
        <v>1540.8</v>
      </c>
    </row>
    <row r="49" spans="1:4">
      <c r="A49" s="8" t="s">
        <v>440</v>
      </c>
      <c r="B49" s="28" t="s">
        <v>168</v>
      </c>
      <c r="C49" s="29">
        <f>487844.64</f>
        <v>487844.64</v>
      </c>
      <c r="D49" s="30">
        <f>625116.49</f>
        <v>625116.49</v>
      </c>
    </row>
    <row r="50" spans="1:4">
      <c r="A50" s="8" t="s">
        <v>169</v>
      </c>
      <c r="B50" s="9" t="s">
        <v>170</v>
      </c>
      <c r="C50" s="14">
        <f>C8+C25+C40+C41+C42+C43+C44+C45+C49+C51+C52</f>
        <v>6657116.4600000037</v>
      </c>
      <c r="D50" s="15">
        <f>D8+D25+D40+D41+D42+D43+D44+D45+D49+D51+D52</f>
        <v>6657116.4600000009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3827837.58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3681558.06</f>
        <v>3681558.06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146279.52</f>
        <v>146279.51999999999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2016870</f>
        <v>2016870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5844707.5800000001</v>
      </c>
      <c r="D59" s="27">
        <f>D54+D57+D58</f>
        <v>0</v>
      </c>
    </row>
    <row r="60" spans="1:4" ht="25.5">
      <c r="A60" s="33" t="s">
        <v>188</v>
      </c>
      <c r="B60" s="9"/>
      <c r="C60" s="34">
        <v>24710.9</v>
      </c>
      <c r="D60" s="35">
        <v>24710.9</v>
      </c>
    </row>
    <row r="61" spans="1:4" ht="15.75" thickBot="1">
      <c r="A61" s="36" t="s">
        <v>189</v>
      </c>
      <c r="B61" s="37"/>
      <c r="C61" s="38">
        <f>(C50+C51+C52)/C60/12</f>
        <v>22.450000000000014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G34" sqref="G34"/>
    </sheetView>
  </sheetViews>
  <sheetFormatPr defaultColWidth="11.7109375" defaultRowHeight="15"/>
  <cols>
    <col min="1" max="1" width="58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323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2528177.2799999998</v>
      </c>
      <c r="D8" s="11">
        <f>D9+D11+D14+D15</f>
        <v>2483030.0499999998</v>
      </c>
    </row>
    <row r="9" spans="1:4" ht="30">
      <c r="A9" s="12" t="s">
        <v>90</v>
      </c>
      <c r="B9" s="13" t="s">
        <v>91</v>
      </c>
      <c r="C9" s="14">
        <f>2180808.3</f>
        <v>2180808.2999999998</v>
      </c>
      <c r="D9" s="15">
        <f>2145957.36</f>
        <v>2145957.36</v>
      </c>
    </row>
    <row r="10" spans="1:4">
      <c r="A10" s="16" t="s">
        <v>92</v>
      </c>
      <c r="B10" s="17" t="s">
        <v>93</v>
      </c>
      <c r="C10" s="18">
        <f>1381234.60829493</f>
        <v>1381234.6082949301</v>
      </c>
      <c r="D10" s="19">
        <f>_73h_E12</f>
        <v>1381234.6082949301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347368.98000000004</v>
      </c>
      <c r="D15" s="15">
        <f>SUM(D16:D24)</f>
        <v>337072.69000000006</v>
      </c>
    </row>
    <row r="16" spans="1:4">
      <c r="A16" s="22" t="s">
        <v>103</v>
      </c>
      <c r="B16" s="17" t="s">
        <v>104</v>
      </c>
      <c r="C16" s="111">
        <v>277898.76</v>
      </c>
      <c r="D16" s="113">
        <v>253586.63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55260.16</f>
        <v>55260.160000000003</v>
      </c>
      <c r="D18" s="19">
        <f>69272.91</f>
        <v>69272.91</v>
      </c>
    </row>
    <row r="19" spans="1:4">
      <c r="A19" s="22" t="s">
        <v>109</v>
      </c>
      <c r="B19" s="17" t="s">
        <v>110</v>
      </c>
      <c r="C19" s="18">
        <f>8397.98</f>
        <v>8397.98</v>
      </c>
      <c r="D19" s="19">
        <f>8403.62</f>
        <v>8403.6200000000008</v>
      </c>
    </row>
    <row r="20" spans="1:4">
      <c r="A20" s="22" t="s">
        <v>111</v>
      </c>
      <c r="B20" s="17" t="s">
        <v>112</v>
      </c>
      <c r="C20" s="18">
        <f>5812.08</f>
        <v>5812.08</v>
      </c>
      <c r="D20" s="19">
        <f>5809.53</f>
        <v>5809.53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1503606.48</v>
      </c>
      <c r="D25" s="15">
        <f>D26+D27+D30+D28+D29+D31</f>
        <v>1455442.4700000002</v>
      </c>
    </row>
    <row r="26" spans="1:4" ht="21" customHeight="1">
      <c r="A26" s="24" t="s">
        <v>123</v>
      </c>
      <c r="B26" s="20" t="s">
        <v>124</v>
      </c>
      <c r="C26" s="18">
        <f>589527.36</f>
        <v>589527.36</v>
      </c>
      <c r="D26" s="19">
        <f>588299.17</f>
        <v>588299.17000000004</v>
      </c>
    </row>
    <row r="27" spans="1:4" ht="45">
      <c r="A27" s="24" t="s">
        <v>125</v>
      </c>
      <c r="B27" s="20" t="s">
        <v>126</v>
      </c>
      <c r="C27" s="18">
        <f>36765</f>
        <v>36765</v>
      </c>
      <c r="D27" s="19">
        <f>36696.43</f>
        <v>36696.43</v>
      </c>
    </row>
    <row r="28" spans="1:4" ht="30.75" customHeight="1">
      <c r="A28" s="21" t="s">
        <v>127</v>
      </c>
      <c r="B28" s="20" t="s">
        <v>128</v>
      </c>
      <c r="C28" s="18">
        <f>272304</f>
        <v>272304</v>
      </c>
      <c r="D28" s="19">
        <f>272304</f>
        <v>272304</v>
      </c>
    </row>
    <row r="29" spans="1:4">
      <c r="A29" s="21" t="s">
        <v>129</v>
      </c>
      <c r="B29" s="20" t="s">
        <v>130</v>
      </c>
      <c r="C29" s="18">
        <f>47496.12</f>
        <v>47496.12</v>
      </c>
      <c r="D29" s="19">
        <f>47080.94</f>
        <v>47080.94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557514</v>
      </c>
      <c r="D31" s="15">
        <f>SUM(D32:D39)</f>
        <v>511061.93000000005</v>
      </c>
    </row>
    <row r="32" spans="1:4" ht="19.5" customHeight="1">
      <c r="A32" s="24" t="s">
        <v>135</v>
      </c>
      <c r="B32" s="17" t="s">
        <v>136</v>
      </c>
      <c r="C32" s="18">
        <f>30631.41</f>
        <v>30631.41</v>
      </c>
      <c r="D32" s="19">
        <f>30631.41</f>
        <v>30631.41</v>
      </c>
    </row>
    <row r="33" spans="1:4">
      <c r="A33" s="24" t="s">
        <v>137</v>
      </c>
      <c r="B33" s="17" t="s">
        <v>138</v>
      </c>
      <c r="C33" s="18">
        <f>49894.08</f>
        <v>49894.080000000002</v>
      </c>
      <c r="D33" s="19">
        <f>52841.55</f>
        <v>52841.55</v>
      </c>
    </row>
    <row r="34" spans="1:4">
      <c r="A34" s="24" t="s">
        <v>139</v>
      </c>
      <c r="B34" s="17" t="s">
        <v>140</v>
      </c>
      <c r="C34" s="18">
        <f>90139.32</f>
        <v>90139.32</v>
      </c>
      <c r="D34" s="19">
        <f>88811.24</f>
        <v>88811.24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144000</f>
        <v>144000</v>
      </c>
      <c r="D37" s="19">
        <f>144000</f>
        <v>144000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480</v>
      </c>
      <c r="B39" s="17" t="s">
        <v>150</v>
      </c>
      <c r="C39" s="18">
        <v>242849.19</v>
      </c>
      <c r="D39" s="19">
        <f>194777.73</f>
        <v>194777.73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28404.36</v>
      </c>
      <c r="D45" s="27">
        <f>SUM(D46:D48)</f>
        <v>31373.329999999998</v>
      </c>
    </row>
    <row r="46" spans="1:4">
      <c r="A46" s="21" t="s">
        <v>163</v>
      </c>
      <c r="B46" s="17" t="s">
        <v>164</v>
      </c>
      <c r="C46" s="18">
        <f>27524.04</f>
        <v>27524.04</v>
      </c>
      <c r="D46" s="19">
        <f>30493.01</f>
        <v>30493.01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321064.08</f>
        <v>321064.08</v>
      </c>
      <c r="D49" s="30">
        <f>411406.35</f>
        <v>411406.35</v>
      </c>
    </row>
    <row r="50" spans="1:4">
      <c r="A50" s="8" t="s">
        <v>169</v>
      </c>
      <c r="B50" s="9" t="s">
        <v>170</v>
      </c>
      <c r="C50" s="14">
        <f>C8+C25+C40+C41+C42+C43+C44+C45+C49+C51+C52</f>
        <v>4381252.1999999993</v>
      </c>
      <c r="D50" s="15">
        <f>D8+D25+D40+D41+D42+D43+D44+D45+D49+D51+D52</f>
        <v>4381252.2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2526824.2800000003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2417705.04</f>
        <v>2417705.04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109119.24</f>
        <v>109119.24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1289862</f>
        <v>1289862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3816686.2800000003</v>
      </c>
      <c r="D59" s="27">
        <f>D54+D57+D58</f>
        <v>0</v>
      </c>
    </row>
    <row r="60" spans="1:4" ht="25.5">
      <c r="A60" s="33" t="s">
        <v>188</v>
      </c>
      <c r="B60" s="9"/>
      <c r="C60" s="34">
        <v>16263</v>
      </c>
      <c r="D60" s="35">
        <v>16263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3" sqref="D43"/>
    </sheetView>
  </sheetViews>
  <sheetFormatPr defaultColWidth="11.7109375" defaultRowHeight="15"/>
  <cols>
    <col min="1" max="1" width="58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325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7694414.7800000003</v>
      </c>
      <c r="D8" s="11">
        <f>D9+D11+D14+D15</f>
        <v>7515940.0700000003</v>
      </c>
    </row>
    <row r="9" spans="1:4" ht="30">
      <c r="A9" s="12" t="s">
        <v>90</v>
      </c>
      <c r="B9" s="13" t="s">
        <v>91</v>
      </c>
      <c r="C9" s="14">
        <f>6556306.99</f>
        <v>6556306.9900000002</v>
      </c>
      <c r="D9" s="15">
        <f>6324653.55</f>
        <v>6324653.5499999998</v>
      </c>
    </row>
    <row r="10" spans="1:4">
      <c r="A10" s="16" t="s">
        <v>92</v>
      </c>
      <c r="B10" s="17" t="s">
        <v>93</v>
      </c>
      <c r="C10" s="18">
        <f>4095151.02150537</f>
        <v>4095151.0215053698</v>
      </c>
      <c r="D10" s="19">
        <f>_74h_E12</f>
        <v>4095151.0215053698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1138107.79</v>
      </c>
      <c r="D15" s="15">
        <f>SUM(D16:D24)</f>
        <v>1191286.52</v>
      </c>
    </row>
    <row r="16" spans="1:4">
      <c r="A16" s="22" t="s">
        <v>103</v>
      </c>
      <c r="B16" s="17" t="s">
        <v>104</v>
      </c>
      <c r="C16" s="111">
        <v>841187.4</v>
      </c>
      <c r="D16" s="113">
        <v>853353.14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161703</f>
        <v>161703</v>
      </c>
      <c r="D18" s="19">
        <f>202707.19</f>
        <v>202707.19</v>
      </c>
    </row>
    <row r="19" spans="1:4">
      <c r="A19" s="22" t="s">
        <v>109</v>
      </c>
      <c r="B19" s="17" t="s">
        <v>110</v>
      </c>
      <c r="C19" s="18">
        <f>23751.86</f>
        <v>23751.86</v>
      </c>
      <c r="D19" s="19">
        <f>23767.82</f>
        <v>23767.82</v>
      </c>
    </row>
    <row r="20" spans="1:4">
      <c r="A20" s="22" t="s">
        <v>111</v>
      </c>
      <c r="B20" s="17" t="s">
        <v>112</v>
      </c>
      <c r="C20" s="18">
        <f>16340.14</f>
        <v>16340.14</v>
      </c>
      <c r="D20" s="19">
        <f>16332.98</f>
        <v>16332.98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95125.39</f>
        <v>95125.39</v>
      </c>
      <c r="D22" s="19">
        <f>95125.39</f>
        <v>95125.39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3932529.88</v>
      </c>
      <c r="D25" s="15">
        <f>D26+D27+D30+D28+D29+D31</f>
        <v>2838257.4299999997</v>
      </c>
    </row>
    <row r="26" spans="1:4" ht="22.5" customHeight="1">
      <c r="A26" s="24" t="s">
        <v>123</v>
      </c>
      <c r="B26" s="20" t="s">
        <v>124</v>
      </c>
      <c r="C26" s="18">
        <f>1324947</f>
        <v>1324947</v>
      </c>
      <c r="D26" s="19">
        <f>1315520.46</f>
        <v>1315520.46</v>
      </c>
    </row>
    <row r="27" spans="1:4" ht="45">
      <c r="A27" s="24" t="s">
        <v>125</v>
      </c>
      <c r="B27" s="20" t="s">
        <v>126</v>
      </c>
      <c r="C27" s="18">
        <f>106676.52</f>
        <v>106676.52</v>
      </c>
      <c r="D27" s="19">
        <f>106699.67</f>
        <v>106699.67</v>
      </c>
    </row>
    <row r="28" spans="1:4" ht="33.7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137237.28</f>
        <v>137237.28</v>
      </c>
      <c r="D29" s="19">
        <f>136037.51</f>
        <v>136037.51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1546757.08</v>
      </c>
      <c r="D31" s="15">
        <f>SUM(D32:D39)</f>
        <v>463087.79000000004</v>
      </c>
    </row>
    <row r="32" spans="1:4" ht="21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144771.48</f>
        <v>144771.48000000001</v>
      </c>
      <c r="D33" s="19">
        <f>114245</f>
        <v>114245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256948.52</f>
        <v>256948.52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1048595.29</v>
      </c>
      <c r="D39" s="19">
        <v>0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v>1003129.13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104733.78</v>
      </c>
      <c r="D45" s="27">
        <f>SUM(D46:D48)</f>
        <v>113312.37999999999</v>
      </c>
    </row>
    <row r="46" spans="1:4">
      <c r="A46" s="21" t="s">
        <v>163</v>
      </c>
      <c r="B46" s="17" t="s">
        <v>164</v>
      </c>
      <c r="C46" s="18">
        <f>79529.16</f>
        <v>79529.16</v>
      </c>
      <c r="D46" s="19">
        <f>88107.76</f>
        <v>88107.76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v>25204.62</v>
      </c>
      <c r="D48" s="19">
        <v>25204.62</v>
      </c>
    </row>
    <row r="49" spans="1:4">
      <c r="A49" s="8" t="s">
        <v>440</v>
      </c>
      <c r="B49" s="28" t="s">
        <v>168</v>
      </c>
      <c r="C49" s="29">
        <f>927696.960000001</f>
        <v>927696.96000000101</v>
      </c>
      <c r="D49" s="30">
        <f>1188736.39</f>
        <v>1188736.3899999999</v>
      </c>
    </row>
    <row r="50" spans="1:4">
      <c r="A50" s="8" t="s">
        <v>169</v>
      </c>
      <c r="B50" s="9" t="s">
        <v>170</v>
      </c>
      <c r="C50" s="14">
        <f>C8+C25+C40+C41+C42+C43+C44+C45+C49+C51+C52</f>
        <v>12659375.4</v>
      </c>
      <c r="D50" s="15">
        <f>D8+D25+D40+D41+D42+D43+D44+D45+D49+D51+D52</f>
        <v>12659375.400000002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7578748.1999999993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7195202.64</f>
        <v>7195202.6399999997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383545.56</f>
        <v>383545.56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3885048</f>
        <v>3885048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11463796.199999999</v>
      </c>
      <c r="D59" s="27">
        <f>D54+D57+D58</f>
        <v>0</v>
      </c>
    </row>
    <row r="60" spans="1:4" ht="25.5">
      <c r="A60" s="33" t="s">
        <v>188</v>
      </c>
      <c r="B60" s="9"/>
      <c r="C60" s="34">
        <v>46991</v>
      </c>
      <c r="D60" s="35">
        <v>46991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D261"/>
  <sheetViews>
    <sheetView topLeftCell="A25" workbookViewId="0">
      <selection activeCell="D49" sqref="D49"/>
    </sheetView>
  </sheetViews>
  <sheetFormatPr defaultColWidth="11.7109375" defaultRowHeight="15"/>
  <cols>
    <col min="1" max="1" width="62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2.5" customHeight="1">
      <c r="A5" s="115" t="s">
        <v>83</v>
      </c>
      <c r="B5" s="117" t="s">
        <v>84</v>
      </c>
      <c r="C5" s="119" t="s">
        <v>327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1852951.9300000002</v>
      </c>
      <c r="D8" s="11">
        <f>D9+D11+D14+D15</f>
        <v>1796614.85</v>
      </c>
    </row>
    <row r="9" spans="1:4" ht="30">
      <c r="A9" s="12" t="s">
        <v>90</v>
      </c>
      <c r="B9" s="13" t="s">
        <v>91</v>
      </c>
      <c r="C9" s="14">
        <f>1644599.83</f>
        <v>1644599.83</v>
      </c>
      <c r="D9" s="15">
        <v>1644599.83</v>
      </c>
    </row>
    <row r="10" spans="1:4">
      <c r="A10" s="16" t="s">
        <v>92</v>
      </c>
      <c r="B10" s="17" t="s">
        <v>93</v>
      </c>
      <c r="C10" s="18">
        <f>1052746.59754224</f>
        <v>1052746.5975422401</v>
      </c>
      <c r="D10" s="19">
        <f>_75h_E12</f>
        <v>1052746.5975422401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208352.1</v>
      </c>
      <c r="D15" s="15">
        <f>SUM(D16:D24)</f>
        <v>152015.01999999999</v>
      </c>
    </row>
    <row r="16" spans="1:4">
      <c r="A16" s="22" t="s">
        <v>103</v>
      </c>
      <c r="B16" s="17" t="s">
        <v>104</v>
      </c>
      <c r="C16" s="111">
        <v>155340.12</v>
      </c>
      <c r="D16" s="113">
        <v>89086.06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39125.4</f>
        <v>39125.4</v>
      </c>
      <c r="D18" s="19">
        <f>49046.66</f>
        <v>49046.66</v>
      </c>
    </row>
    <row r="19" spans="1:4">
      <c r="A19" s="22" t="s">
        <v>109</v>
      </c>
      <c r="B19" s="17" t="s">
        <v>110</v>
      </c>
      <c r="C19" s="18">
        <f>0</f>
        <v>0</v>
      </c>
      <c r="D19" s="19">
        <f>0</f>
        <v>0</v>
      </c>
    </row>
    <row r="20" spans="1:4">
      <c r="A20" s="22" t="s">
        <v>111</v>
      </c>
      <c r="B20" s="17" t="s">
        <v>112</v>
      </c>
      <c r="C20" s="18">
        <f>9713.48</f>
        <v>9713.48</v>
      </c>
      <c r="D20" s="19">
        <f>9709.22</f>
        <v>9709.2199999999993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4173.1</f>
        <v>4173.1000000000004</v>
      </c>
      <c r="D23" s="19">
        <f>4173.08</f>
        <v>4173.08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753176.21000001696</v>
      </c>
      <c r="D25" s="15">
        <f>D26+D27+D30+D28+D29+D31</f>
        <v>749195.74</v>
      </c>
    </row>
    <row r="26" spans="1:4" ht="21.75" customHeight="1">
      <c r="A26" s="24" t="s">
        <v>123</v>
      </c>
      <c r="B26" s="20" t="s">
        <v>124</v>
      </c>
      <c r="C26" s="18">
        <f>236592.3</f>
        <v>236592.3</v>
      </c>
      <c r="D26" s="19">
        <f>200390.28</f>
        <v>200390.28</v>
      </c>
    </row>
    <row r="27" spans="1:4" ht="33.75" customHeight="1">
      <c r="A27" s="24" t="s">
        <v>125</v>
      </c>
      <c r="B27" s="20" t="s">
        <v>126</v>
      </c>
      <c r="C27" s="18">
        <f>30541.08</f>
        <v>30541.08</v>
      </c>
      <c r="D27" s="19">
        <f>30426.63</f>
        <v>30426.63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30702.24</f>
        <v>30702.240000000002</v>
      </c>
      <c r="D29" s="19">
        <f>30433.76</f>
        <v>30433.759999999998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455340.59000001702</v>
      </c>
      <c r="D31" s="15">
        <f>SUM(D32:D39)</f>
        <v>487945.06999999995</v>
      </c>
    </row>
    <row r="32" spans="1:4" ht="21.75" customHeight="1">
      <c r="A32" s="24" t="s">
        <v>135</v>
      </c>
      <c r="B32" s="17" t="s">
        <v>136</v>
      </c>
      <c r="C32" s="18">
        <f>45947.12</f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18">
        <f>41447.4</f>
        <v>41447.4</v>
      </c>
      <c r="D33" s="19">
        <f>2406.19</f>
        <v>2406.19</v>
      </c>
    </row>
    <row r="34" spans="1:4">
      <c r="A34" s="24" t="s">
        <v>139</v>
      </c>
      <c r="B34" s="17" t="s">
        <v>140</v>
      </c>
      <c r="C34" s="18">
        <f>26764.8</f>
        <v>26764.799999999999</v>
      </c>
      <c r="D34" s="19">
        <f>27199.6</f>
        <v>27199.599999999999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341181.270000017</f>
        <v>341181.27000001702</v>
      </c>
      <c r="D39" s="19">
        <v>412392.16</v>
      </c>
    </row>
    <row r="40" spans="1:4" ht="21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8.7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18452.16</v>
      </c>
      <c r="D45" s="27">
        <f>SUM(D46:D48)</f>
        <v>20371.280000000002</v>
      </c>
    </row>
    <row r="46" spans="1:4">
      <c r="A46" s="21" t="s">
        <v>163</v>
      </c>
      <c r="B46" s="17" t="s">
        <v>164</v>
      </c>
      <c r="C46" s="18">
        <f>17791.92</f>
        <v>17791.919999999998</v>
      </c>
      <c r="D46" s="19">
        <f>19711.04</f>
        <v>19711.04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660.24</f>
        <v>660.24</v>
      </c>
      <c r="D48" s="19">
        <f>660.24</f>
        <v>660.24</v>
      </c>
    </row>
    <row r="49" spans="1:4">
      <c r="A49" s="8" t="s">
        <v>440</v>
      </c>
      <c r="B49" s="28" t="s">
        <v>168</v>
      </c>
      <c r="C49" s="29">
        <f>207541.08</f>
        <v>207541.08</v>
      </c>
      <c r="D49" s="30">
        <f>265939.51</f>
        <v>265939.51</v>
      </c>
    </row>
    <row r="50" spans="1:4">
      <c r="A50" s="8" t="s">
        <v>169</v>
      </c>
      <c r="B50" s="9" t="s">
        <v>170</v>
      </c>
      <c r="C50" s="14">
        <f>C8+C25+C40+C41+C42+C43+C44+C45+C49+C51+C52</f>
        <v>2832121.3800000176</v>
      </c>
      <c r="D50" s="15">
        <f>D8+D25+D40+D41+D42+D43+D44+D45+D49+D51+D52</f>
        <v>2832121.38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1835423.58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1637501.58</f>
        <v>1637501.58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197922</f>
        <v>197922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907512</f>
        <v>907512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2742935.58</v>
      </c>
      <c r="D59" s="27">
        <f>D54+D57+D58</f>
        <v>0</v>
      </c>
    </row>
    <row r="60" spans="1:4" ht="25.5">
      <c r="A60" s="33" t="s">
        <v>188</v>
      </c>
      <c r="B60" s="9"/>
      <c r="C60" s="34">
        <v>10512.7</v>
      </c>
      <c r="D60" s="35">
        <v>10512.7</v>
      </c>
    </row>
    <row r="61" spans="1:4" ht="15.75" thickBot="1">
      <c r="A61" s="36" t="s">
        <v>189</v>
      </c>
      <c r="B61" s="37"/>
      <c r="C61" s="38">
        <f>(C50+C51+C52)/C60/12</f>
        <v>22.450000000000134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F50" sqref="F50"/>
    </sheetView>
  </sheetViews>
  <sheetFormatPr defaultColWidth="11.7109375" defaultRowHeight="15"/>
  <cols>
    <col min="1" max="1" width="57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2898806.95</v>
      </c>
      <c r="D8" s="11">
        <f>D9+D11+D14+D15</f>
        <v>2781955.3800000004</v>
      </c>
    </row>
    <row r="9" spans="1:4" ht="30">
      <c r="A9" s="12" t="s">
        <v>90</v>
      </c>
      <c r="B9" s="13" t="s">
        <v>91</v>
      </c>
      <c r="C9" s="14">
        <f>2579843.91</f>
        <v>2579843.91</v>
      </c>
      <c r="D9" s="15">
        <f>2543402.7</f>
        <v>2543402.7000000002</v>
      </c>
    </row>
    <row r="10" spans="1:4">
      <c r="A10" s="16" t="s">
        <v>92</v>
      </c>
      <c r="B10" s="17" t="s">
        <v>93</v>
      </c>
      <c r="C10" s="18">
        <f>1662979.65437788</f>
        <v>1662979.65437788</v>
      </c>
      <c r="D10" s="19">
        <f>_76h_E12</f>
        <v>1662979.65437788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6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318963.03999999998</v>
      </c>
      <c r="D15" s="15">
        <f>SUM(D16:D24)</f>
        <v>238552.68</v>
      </c>
    </row>
    <row r="16" spans="1:4">
      <c r="A16" s="22" t="s">
        <v>103</v>
      </c>
      <c r="B16" s="17" t="s">
        <v>104</v>
      </c>
      <c r="C16" s="111">
        <v>233010.48</v>
      </c>
      <c r="D16" s="113">
        <v>133625.76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74835.24</f>
        <v>74835.240000000005</v>
      </c>
      <c r="D18" s="19">
        <f>93811.76</f>
        <v>93811.76</v>
      </c>
    </row>
    <row r="19" spans="1:4">
      <c r="A19" s="22" t="s">
        <v>109</v>
      </c>
      <c r="B19" s="17" t="s">
        <v>110</v>
      </c>
      <c r="C19" s="18">
        <f>0</f>
        <v>0</v>
      </c>
      <c r="D19" s="19">
        <f>0</f>
        <v>0</v>
      </c>
    </row>
    <row r="20" spans="1:4">
      <c r="A20" s="22" t="s">
        <v>111</v>
      </c>
      <c r="B20" s="17" t="s">
        <v>112</v>
      </c>
      <c r="C20" s="18">
        <f>4857.72</f>
        <v>4857.72</v>
      </c>
      <c r="D20" s="19">
        <f>4855.58</f>
        <v>4855.58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6259.6</f>
        <v>6259.6</v>
      </c>
      <c r="D23" s="19">
        <f>6259.58</f>
        <v>6259.58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1046153.030000004</v>
      </c>
      <c r="D25" s="15">
        <f>D26+D27+D30+D28+D29+D31</f>
        <v>610376.4</v>
      </c>
    </row>
    <row r="26" spans="1:4" ht="22.5" customHeight="1">
      <c r="A26" s="24" t="s">
        <v>123</v>
      </c>
      <c r="B26" s="20" t="s">
        <v>124</v>
      </c>
      <c r="C26" s="18">
        <f>302032.8</f>
        <v>302032.8</v>
      </c>
      <c r="D26" s="19">
        <f>300634.51</f>
        <v>300634.51</v>
      </c>
    </row>
    <row r="27" spans="1:4" ht="45">
      <c r="A27" s="24" t="s">
        <v>125</v>
      </c>
      <c r="B27" s="20" t="s">
        <v>126</v>
      </c>
      <c r="C27" s="18">
        <f>46607.64</f>
        <v>46607.64</v>
      </c>
      <c r="D27" s="19">
        <f>46622.94</f>
        <v>46622.94</v>
      </c>
    </row>
    <row r="28" spans="1:4" ht="33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46474.8</f>
        <v>46474.8</v>
      </c>
      <c r="D29" s="19">
        <f>46068.48</f>
        <v>46068.480000000003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651037.790000004</v>
      </c>
      <c r="D31" s="15">
        <f>SUM(D32:D39)</f>
        <v>217050.47</v>
      </c>
    </row>
    <row r="32" spans="1:4" ht="20.25" customHeight="1">
      <c r="A32" s="24" t="s">
        <v>135</v>
      </c>
      <c r="B32" s="17" t="s">
        <v>136</v>
      </c>
      <c r="C32" s="18">
        <f>68920.68</f>
        <v>68920.679999999993</v>
      </c>
      <c r="D32" s="19">
        <f>68920.71</f>
        <v>68920.710000000006</v>
      </c>
    </row>
    <row r="33" spans="1:4">
      <c r="A33" s="24" t="s">
        <v>137</v>
      </c>
      <c r="B33" s="17" t="s">
        <v>138</v>
      </c>
      <c r="C33" s="18">
        <f>63251.52</f>
        <v>63251.519999999997</v>
      </c>
      <c r="D33" s="19">
        <f>82137.36</f>
        <v>82137.36</v>
      </c>
    </row>
    <row r="34" spans="1:4">
      <c r="A34" s="24" t="s">
        <v>139</v>
      </c>
      <c r="B34" s="17" t="s">
        <v>140</v>
      </c>
      <c r="C34" s="18">
        <f>40147.32</f>
        <v>40147.32</v>
      </c>
      <c r="D34" s="19">
        <f>40799.4</f>
        <v>40799.4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494</v>
      </c>
      <c r="B39" s="17" t="s">
        <v>150</v>
      </c>
      <c r="C39" s="18">
        <f>478718.270000004</f>
        <v>478718.27000000398</v>
      </c>
      <c r="D39" s="19">
        <v>25193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461323.35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27922.560000000001</v>
      </c>
      <c r="D45" s="27">
        <f>SUM(D46:D48)</f>
        <v>30827.64</v>
      </c>
    </row>
    <row r="46" spans="1:4">
      <c r="A46" s="21" t="s">
        <v>163</v>
      </c>
      <c r="B46" s="17" t="s">
        <v>164</v>
      </c>
      <c r="C46" s="18">
        <f>26932.08</f>
        <v>26932.080000000002</v>
      </c>
      <c r="D46" s="19">
        <f>29837.16</f>
        <v>29837.16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990.48</f>
        <v>990.48</v>
      </c>
      <c r="D48" s="19">
        <f>990.48</f>
        <v>990.48</v>
      </c>
    </row>
    <row r="49" spans="1:4">
      <c r="A49" s="8" t="s">
        <v>440</v>
      </c>
      <c r="B49" s="28" t="s">
        <v>168</v>
      </c>
      <c r="C49" s="29">
        <f>314160.48</f>
        <v>314160.48</v>
      </c>
      <c r="D49" s="30">
        <f>402560.25</f>
        <v>402560.25</v>
      </c>
    </row>
    <row r="50" spans="1:4">
      <c r="A50" s="8" t="s">
        <v>169</v>
      </c>
      <c r="B50" s="9" t="s">
        <v>170</v>
      </c>
      <c r="C50" s="14">
        <f>C8+C25+C40+C41+C42+C43+C44+C45+C49+C51+C52</f>
        <v>4287043.0200000042</v>
      </c>
      <c r="D50" s="15">
        <f>D8+D25+D40+D41+D42+D43+D44+D45+D49+D51+D52</f>
        <v>4287043.0200000005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2527934.04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2461673.64</f>
        <v>2461673.64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66260.4</f>
        <v>66260.399999999994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1363110</f>
        <v>1363110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3891044.04</v>
      </c>
      <c r="D59" s="27">
        <f>D54+D57+D58</f>
        <v>0</v>
      </c>
    </row>
    <row r="60" spans="1:4" ht="25.5">
      <c r="A60" s="33" t="s">
        <v>188</v>
      </c>
      <c r="B60" s="9"/>
      <c r="C60" s="34">
        <v>15913.3</v>
      </c>
      <c r="D60" s="35">
        <v>15913.3</v>
      </c>
    </row>
    <row r="61" spans="1:4" ht="15.75" thickBot="1">
      <c r="A61" s="36" t="s">
        <v>189</v>
      </c>
      <c r="B61" s="37"/>
      <c r="C61" s="38">
        <f>(C50+C51+C52)/C60/12</f>
        <v>22.450000000000021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3" sqref="D43"/>
    </sheetView>
  </sheetViews>
  <sheetFormatPr defaultColWidth="11.7109375" defaultRowHeight="15"/>
  <cols>
    <col min="1" max="1" width="56.5703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330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7877907.2699999996</v>
      </c>
      <c r="D8" s="11">
        <f>D9+D11+D14+D15</f>
        <v>7561034.0200000005</v>
      </c>
    </row>
    <row r="9" spans="1:4" ht="30">
      <c r="A9" s="12" t="s">
        <v>90</v>
      </c>
      <c r="B9" s="13" t="s">
        <v>91</v>
      </c>
      <c r="C9" s="14">
        <f>6729392.06</f>
        <v>6729392.0599999996</v>
      </c>
      <c r="D9" s="15">
        <f>6425433.49</f>
        <v>6425433.4900000002</v>
      </c>
    </row>
    <row r="10" spans="1:4">
      <c r="A10" s="16" t="s">
        <v>92</v>
      </c>
      <c r="B10" s="17" t="s">
        <v>93</v>
      </c>
      <c r="C10" s="18">
        <f>4194787.84946237</f>
        <v>4194787.8494623704</v>
      </c>
      <c r="D10" s="19">
        <f>_77h_E12</f>
        <v>4194787.8494623704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1148515.21</v>
      </c>
      <c r="D15" s="15">
        <f>SUM(D16:D24)</f>
        <v>1135600.53</v>
      </c>
    </row>
    <row r="16" spans="1:4">
      <c r="A16" s="22" t="s">
        <v>103</v>
      </c>
      <c r="B16" s="17" t="s">
        <v>104</v>
      </c>
      <c r="C16" s="111">
        <v>848142.8</v>
      </c>
      <c r="D16" s="113">
        <v>794392.15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161004.36</f>
        <v>161004.35999999999</v>
      </c>
      <c r="D18" s="19">
        <f>201831.38</f>
        <v>201831.38</v>
      </c>
    </row>
    <row r="19" spans="1:4">
      <c r="A19" s="22" t="s">
        <v>109</v>
      </c>
      <c r="B19" s="17" t="s">
        <v>110</v>
      </c>
      <c r="C19" s="18">
        <f>24050.44</f>
        <v>24050.44</v>
      </c>
      <c r="D19" s="19">
        <f>24066.6</f>
        <v>24066.6</v>
      </c>
    </row>
    <row r="20" spans="1:4">
      <c r="A20" s="22" t="s">
        <v>111</v>
      </c>
      <c r="B20" s="17" t="s">
        <v>112</v>
      </c>
      <c r="C20" s="18">
        <f>16592.88</f>
        <v>16592.88</v>
      </c>
      <c r="D20" s="19">
        <f>16585.67</f>
        <v>16585.669999999998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98724.73</f>
        <v>98724.73</v>
      </c>
      <c r="D22" s="19">
        <f>98724.73</f>
        <v>98724.73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4148538.68</v>
      </c>
      <c r="D25" s="15">
        <f>D26+D27+D30+D28+D29+D31</f>
        <v>3066987.88</v>
      </c>
    </row>
    <row r="26" spans="1:4" ht="19.5" customHeight="1">
      <c r="A26" s="24" t="s">
        <v>123</v>
      </c>
      <c r="B26" s="20" t="s">
        <v>124</v>
      </c>
      <c r="C26" s="18">
        <f>1360447.56</f>
        <v>1360447.56</v>
      </c>
      <c r="D26" s="19">
        <f>1357140.93</f>
        <v>1357140.93</v>
      </c>
    </row>
    <row r="27" spans="1:4" ht="45">
      <c r="A27" s="24" t="s">
        <v>125</v>
      </c>
      <c r="B27" s="20" t="s">
        <v>126</v>
      </c>
      <c r="C27" s="18">
        <f>110005.56</f>
        <v>110005.56</v>
      </c>
      <c r="D27" s="19">
        <f>110028.69</f>
        <v>110028.69</v>
      </c>
    </row>
    <row r="28" spans="1:4" ht="31.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142097.04</f>
        <v>142097.04</v>
      </c>
      <c r="D29" s="19">
        <f>140854.77</f>
        <v>140854.76999999999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1719076.52</v>
      </c>
      <c r="D31" s="15">
        <f>SUM(D32:D39)</f>
        <v>642051.49</v>
      </c>
    </row>
    <row r="32" spans="1:4" ht="19.5" customHeight="1">
      <c r="A32" s="24" t="s">
        <v>135</v>
      </c>
      <c r="B32" s="17" t="s">
        <v>136</v>
      </c>
      <c r="C32" s="18">
        <f>91894.23</f>
        <v>91894.23</v>
      </c>
      <c r="D32" s="19">
        <f>91894.27</f>
        <v>91894.27</v>
      </c>
    </row>
    <row r="33" spans="1:4">
      <c r="A33" s="24" t="s">
        <v>137</v>
      </c>
      <c r="B33" s="17" t="s">
        <v>138</v>
      </c>
      <c r="C33" s="18">
        <f>149289.48</f>
        <v>149289.48000000001</v>
      </c>
      <c r="D33" s="19">
        <f>130656.17</f>
        <v>130656.17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262407.83</f>
        <v>262407.83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45">
      <c r="A39" s="24" t="s">
        <v>505</v>
      </c>
      <c r="B39" s="17" t="s">
        <v>150</v>
      </c>
      <c r="C39" s="18">
        <v>1216396.73</v>
      </c>
      <c r="D39" s="19">
        <v>157093.22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v>35676.85</v>
      </c>
      <c r="D42" s="27">
        <v>35676.85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1119258.81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84986.640000000014</v>
      </c>
      <c r="D45" s="27">
        <f>SUM(D46:D48)</f>
        <v>93868.98000000001</v>
      </c>
    </row>
    <row r="46" spans="1:4">
      <c r="A46" s="21" t="s">
        <v>163</v>
      </c>
      <c r="B46" s="17" t="s">
        <v>164</v>
      </c>
      <c r="C46" s="18">
        <f>82345.32</f>
        <v>82345.320000000007</v>
      </c>
      <c r="D46" s="19">
        <f>91227.66</f>
        <v>91227.66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2641.32</f>
        <v>2641.32</v>
      </c>
      <c r="D48" s="19">
        <f>2641.32</f>
        <v>2641.32</v>
      </c>
    </row>
    <row r="49" spans="1:4">
      <c r="A49" s="8" t="s">
        <v>440</v>
      </c>
      <c r="B49" s="28" t="s">
        <v>168</v>
      </c>
      <c r="C49" s="29">
        <f>960547.56</f>
        <v>960547.56</v>
      </c>
      <c r="D49" s="30">
        <f>1230830.46</f>
        <v>1230830.46</v>
      </c>
    </row>
    <row r="50" spans="1:4">
      <c r="A50" s="8" t="s">
        <v>169</v>
      </c>
      <c r="B50" s="9" t="s">
        <v>170</v>
      </c>
      <c r="C50" s="14">
        <f>C8+C25+C40+C41+C42+C43+C44+C45+C49+C51+C52</f>
        <v>13107657</v>
      </c>
      <c r="D50" s="15">
        <f>D8+D25+D40+D41+D42+D43+D44+D45+D49+D51+D52</f>
        <v>13107657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7859753.8799999999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7317503.76</f>
        <v>7317503.7599999998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542250.12</f>
        <v>542250.12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3929856.06</f>
        <v>3929856.06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11789609.939999999</v>
      </c>
      <c r="D59" s="27">
        <f>D54+D57+D58</f>
        <v>0</v>
      </c>
    </row>
    <row r="60" spans="1:4" ht="25.5">
      <c r="A60" s="33" t="s">
        <v>188</v>
      </c>
      <c r="B60" s="9"/>
      <c r="C60" s="34">
        <v>48655</v>
      </c>
      <c r="D60" s="35">
        <v>48655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47" sqref="E47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456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3056281.05</v>
      </c>
      <c r="D8" s="11">
        <f>D9+D11+D14+D15</f>
        <v>2909531.77</v>
      </c>
    </row>
    <row r="9" spans="1:4" ht="30">
      <c r="A9" s="12" t="s">
        <v>90</v>
      </c>
      <c r="B9" s="13" t="s">
        <v>91</v>
      </c>
      <c r="C9" s="14">
        <f>2700690.17</f>
        <v>2700690.17</v>
      </c>
      <c r="D9" s="15">
        <f>2581272.66</f>
        <v>2581272.66</v>
      </c>
    </row>
    <row r="10" spans="1:4">
      <c r="A10" s="16" t="s">
        <v>92</v>
      </c>
      <c r="B10" s="17" t="s">
        <v>93</v>
      </c>
      <c r="C10" s="18">
        <f>1755221.05222734</f>
        <v>1755221.0522273399</v>
      </c>
      <c r="D10" s="19">
        <f>_78h_E12</f>
        <v>1755221.0522273399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355590.88</v>
      </c>
      <c r="D15" s="15">
        <f>SUM(D16:D24)</f>
        <v>328259.10999999993</v>
      </c>
    </row>
    <row r="16" spans="1:4">
      <c r="A16" s="22" t="s">
        <v>103</v>
      </c>
      <c r="B16" s="17" t="s">
        <v>104</v>
      </c>
      <c r="C16" s="111">
        <v>231896.76</v>
      </c>
      <c r="D16" s="113">
        <v>187733.52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66373.56</f>
        <v>66373.56</v>
      </c>
      <c r="D18" s="19">
        <f>83204.43</f>
        <v>83204.429999999993</v>
      </c>
    </row>
    <row r="19" spans="1:4">
      <c r="A19" s="22" t="s">
        <v>109</v>
      </c>
      <c r="B19" s="17" t="s">
        <v>110</v>
      </c>
      <c r="C19" s="18">
        <f>6741.92</f>
        <v>6741.92</v>
      </c>
      <c r="D19" s="19">
        <f>6746.44</f>
        <v>6746.44</v>
      </c>
    </row>
    <row r="20" spans="1:4">
      <c r="A20" s="22" t="s">
        <v>111</v>
      </c>
      <c r="B20" s="17" t="s">
        <v>112</v>
      </c>
      <c r="C20" s="18">
        <f>8929.14</f>
        <v>8929.14</v>
      </c>
      <c r="D20" s="19">
        <f>8925.22</f>
        <v>8925.2199999999993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41649.5</f>
        <v>41649.5</v>
      </c>
      <c r="D22" s="19">
        <f>41649.5</f>
        <v>41649.5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895795.35000000591</v>
      </c>
      <c r="D25" s="15">
        <f>D26+D27+D30+D28+D29+D31</f>
        <v>876013.81</v>
      </c>
    </row>
    <row r="26" spans="1:4" ht="18" customHeight="1">
      <c r="A26" s="24" t="s">
        <v>123</v>
      </c>
      <c r="B26" s="20" t="s">
        <v>124</v>
      </c>
      <c r="C26" s="18">
        <f>377541</f>
        <v>377541</v>
      </c>
      <c r="D26" s="19">
        <f>377541</f>
        <v>377541</v>
      </c>
    </row>
    <row r="27" spans="1:4" ht="45">
      <c r="A27" s="24" t="s">
        <v>125</v>
      </c>
      <c r="B27" s="20" t="s">
        <v>126</v>
      </c>
      <c r="C27" s="18">
        <f>46173.36</f>
        <v>46173.36</v>
      </c>
      <c r="D27" s="19">
        <f>44535.76</f>
        <v>44535.76</v>
      </c>
    </row>
    <row r="28" spans="1:4" ht="34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46558.68</f>
        <v>46558.68</v>
      </c>
      <c r="D29" s="19">
        <f>46151.62</f>
        <v>46151.62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425522.31000000599</v>
      </c>
      <c r="D31" s="15">
        <f>SUM(D32:D39)</f>
        <v>407785.43</v>
      </c>
    </row>
    <row r="32" spans="1:4" ht="20.25" customHeight="1">
      <c r="A32" s="24" t="s">
        <v>135</v>
      </c>
      <c r="B32" s="17" t="s">
        <v>136</v>
      </c>
      <c r="C32" s="18">
        <f>68920.68</f>
        <v>68920.679999999993</v>
      </c>
      <c r="D32" s="19">
        <f>68920.71</f>
        <v>68920.710000000006</v>
      </c>
    </row>
    <row r="33" spans="1:4">
      <c r="A33" s="24" t="s">
        <v>137</v>
      </c>
      <c r="B33" s="17" t="s">
        <v>138</v>
      </c>
      <c r="C33" s="18">
        <f>62662.2</f>
        <v>62662.2</v>
      </c>
      <c r="D33" s="19">
        <f>49971.55</f>
        <v>49971.55</v>
      </c>
    </row>
    <row r="34" spans="1:4">
      <c r="A34" s="24" t="s">
        <v>139</v>
      </c>
      <c r="B34" s="17" t="s">
        <v>140</v>
      </c>
      <c r="C34" s="18">
        <f>40147.32</f>
        <v>40147.32</v>
      </c>
      <c r="D34" s="19">
        <f>40799.4</f>
        <v>40799.4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506</v>
      </c>
      <c r="B39" s="17" t="s">
        <v>150</v>
      </c>
      <c r="C39" s="18">
        <f>253792.110000006</f>
        <v>253792.11000000601</v>
      </c>
      <c r="D39" s="19">
        <v>248093.77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27971.16</v>
      </c>
      <c r="D45" s="27">
        <f>SUM(D46:D48)</f>
        <v>105942.76999999999</v>
      </c>
    </row>
    <row r="46" spans="1:4">
      <c r="A46" s="21" t="s">
        <v>163</v>
      </c>
      <c r="B46" s="17" t="s">
        <v>164</v>
      </c>
      <c r="C46" s="18">
        <f>26980.68</f>
        <v>26980.68</v>
      </c>
      <c r="D46" s="19">
        <f>29891.03</f>
        <v>29891.03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75061.259999999995</v>
      </c>
    </row>
    <row r="48" spans="1:4">
      <c r="A48" s="21" t="s">
        <v>166</v>
      </c>
      <c r="B48" s="17" t="s">
        <v>167</v>
      </c>
      <c r="C48" s="18">
        <f>990.48</f>
        <v>990.48</v>
      </c>
      <c r="D48" s="19">
        <f>990.48</f>
        <v>990.48</v>
      </c>
    </row>
    <row r="49" spans="1:4">
      <c r="A49" s="8" t="s">
        <v>440</v>
      </c>
      <c r="B49" s="28" t="s">
        <v>168</v>
      </c>
      <c r="C49" s="29">
        <f>314727.24</f>
        <v>314727.24</v>
      </c>
      <c r="D49" s="30">
        <f>403286.45</f>
        <v>403286.45</v>
      </c>
    </row>
    <row r="50" spans="1:4">
      <c r="A50" s="8" t="s">
        <v>169</v>
      </c>
      <c r="B50" s="9" t="s">
        <v>170</v>
      </c>
      <c r="C50" s="14">
        <f>C8+C25+C40+C41+C42+C43+C44+C45+C49+C51+C52</f>
        <v>4294774.8000000063</v>
      </c>
      <c r="D50" s="15">
        <f>D8+D25+D40+D41+D42+D43+D44+D45+D49+D51+D52</f>
        <v>4294774.8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2468414.1599999997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2414870.28</f>
        <v>2414870.2799999998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53543.88</f>
        <v>53543.88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1329174</f>
        <v>1329174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3797588.1599999997</v>
      </c>
      <c r="D59" s="27">
        <f>D54+D57+D58</f>
        <v>0</v>
      </c>
    </row>
    <row r="60" spans="1:4" ht="25.5">
      <c r="A60" s="33" t="s">
        <v>188</v>
      </c>
      <c r="B60" s="9"/>
      <c r="C60" s="34">
        <v>15942</v>
      </c>
      <c r="D60" s="35">
        <v>15942</v>
      </c>
    </row>
    <row r="61" spans="1:4" ht="15.75" thickBot="1">
      <c r="A61" s="36" t="s">
        <v>189</v>
      </c>
      <c r="B61" s="37"/>
      <c r="C61" s="38">
        <f>(C50+C51+C52)/C60/12</f>
        <v>22.450000000000031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F14" sqref="F14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 ht="22.5" customHeight="1">
      <c r="A5" s="115" t="s">
        <v>83</v>
      </c>
      <c r="B5" s="117" t="s">
        <v>84</v>
      </c>
      <c r="C5" s="119" t="s">
        <v>333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57">
        <v>1842876.1400000001</v>
      </c>
      <c r="D8" s="11">
        <f>D9+D11+D14+D15</f>
        <v>1735654.47</v>
      </c>
    </row>
    <row r="9" spans="1:4" ht="30">
      <c r="A9" s="12" t="s">
        <v>90</v>
      </c>
      <c r="B9" s="13" t="s">
        <v>91</v>
      </c>
      <c r="C9" s="58">
        <v>1614047.79</v>
      </c>
      <c r="D9" s="15">
        <f>1584342.96</f>
        <v>1584342.96</v>
      </c>
    </row>
    <row r="10" spans="1:4">
      <c r="A10" s="16" t="s">
        <v>92</v>
      </c>
      <c r="B10" s="17" t="s">
        <v>93</v>
      </c>
      <c r="C10" s="59">
        <v>1027253.84792627</v>
      </c>
      <c r="D10" s="19">
        <f>_79h_E12</f>
        <v>1027253.84792627</v>
      </c>
    </row>
    <row r="11" spans="1:4" ht="18.75" customHeight="1">
      <c r="A11" s="12" t="s">
        <v>94</v>
      </c>
      <c r="B11" s="20" t="s">
        <v>95</v>
      </c>
      <c r="C11" s="58"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59"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59"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59"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58">
        <v>228828.34999999998</v>
      </c>
      <c r="D15" s="15">
        <f>SUM(D16:D24)</f>
        <v>151311.51</v>
      </c>
    </row>
    <row r="16" spans="1:4">
      <c r="A16" s="22" t="s">
        <v>103</v>
      </c>
      <c r="B16" s="17" t="s">
        <v>104</v>
      </c>
      <c r="C16" s="111">
        <v>154597.56</v>
      </c>
      <c r="D16" s="113">
        <v>67946.48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59">
        <v>36020.160000000003</v>
      </c>
      <c r="D18" s="19">
        <f>45154</f>
        <v>45154</v>
      </c>
    </row>
    <row r="19" spans="1:4">
      <c r="A19" s="22" t="s">
        <v>109</v>
      </c>
      <c r="B19" s="17" t="s">
        <v>110</v>
      </c>
      <c r="C19" s="59">
        <v>4494.78</v>
      </c>
      <c r="D19" s="19">
        <f>4497.78</f>
        <v>4497.78</v>
      </c>
    </row>
    <row r="20" spans="1:4">
      <c r="A20" s="22" t="s">
        <v>111</v>
      </c>
      <c r="B20" s="17" t="s">
        <v>112</v>
      </c>
      <c r="C20" s="59">
        <v>5949.52</v>
      </c>
      <c r="D20" s="19">
        <f>5946.92</f>
        <v>5946.92</v>
      </c>
    </row>
    <row r="21" spans="1:4">
      <c r="A21" s="22" t="s">
        <v>113</v>
      </c>
      <c r="B21" s="17" t="s">
        <v>114</v>
      </c>
      <c r="C21" s="59"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59">
        <v>27766.33</v>
      </c>
      <c r="D22" s="19">
        <f>27766.33</f>
        <v>27766.33</v>
      </c>
    </row>
    <row r="23" spans="1:4">
      <c r="A23" s="22" t="s">
        <v>117</v>
      </c>
      <c r="B23" s="17" t="s">
        <v>118</v>
      </c>
      <c r="C23" s="59">
        <v>0</v>
      </c>
      <c r="D23" s="19">
        <f>0</f>
        <v>0</v>
      </c>
    </row>
    <row r="24" spans="1:4" ht="15.75" customHeight="1">
      <c r="A24" s="23" t="s">
        <v>119</v>
      </c>
      <c r="B24" s="17" t="s">
        <v>120</v>
      </c>
      <c r="C24" s="59"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58">
        <v>759776.58000000799</v>
      </c>
      <c r="D25" s="15">
        <f>D26+D27+D30+D28+D29+D31</f>
        <v>431758.25</v>
      </c>
    </row>
    <row r="26" spans="1:4" ht="16.5" customHeight="1">
      <c r="A26" s="24" t="s">
        <v>123</v>
      </c>
      <c r="B26" s="20" t="s">
        <v>124</v>
      </c>
      <c r="C26" s="59">
        <v>271829.52</v>
      </c>
      <c r="D26" s="19">
        <f>271829.52</f>
        <v>271829.52</v>
      </c>
    </row>
    <row r="27" spans="1:4" ht="45">
      <c r="A27" s="24" t="s">
        <v>125</v>
      </c>
      <c r="B27" s="20" t="s">
        <v>126</v>
      </c>
      <c r="C27" s="59">
        <v>30975.360000000001</v>
      </c>
      <c r="D27" s="19">
        <f>32651.47</f>
        <v>32651.47</v>
      </c>
    </row>
    <row r="28" spans="1:4" ht="30.75" customHeight="1">
      <c r="A28" s="21" t="s">
        <v>127</v>
      </c>
      <c r="B28" s="20" t="s">
        <v>128</v>
      </c>
      <c r="C28" s="59"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59">
        <v>30998.16</v>
      </c>
      <c r="D29" s="19">
        <f>30727.14</f>
        <v>30727.14</v>
      </c>
    </row>
    <row r="30" spans="1:4">
      <c r="A30" s="21" t="s">
        <v>131</v>
      </c>
      <c r="B30" s="20" t="s">
        <v>132</v>
      </c>
      <c r="C30" s="59"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58">
        <v>425973.54000000801</v>
      </c>
      <c r="D31" s="15">
        <f>SUM(D32:D39)</f>
        <v>96550.12</v>
      </c>
    </row>
    <row r="32" spans="1:4" ht="20.25" customHeight="1">
      <c r="A32" s="24" t="s">
        <v>135</v>
      </c>
      <c r="B32" s="17" t="s">
        <v>136</v>
      </c>
      <c r="C32" s="59">
        <v>45947.12</v>
      </c>
      <c r="D32" s="19">
        <f>45947.12</f>
        <v>45947.12</v>
      </c>
    </row>
    <row r="33" spans="1:4">
      <c r="A33" s="24" t="s">
        <v>137</v>
      </c>
      <c r="B33" s="17" t="s">
        <v>138</v>
      </c>
      <c r="C33" s="59">
        <v>42036.72</v>
      </c>
      <c r="D33" s="19">
        <f>23403.4</f>
        <v>23403.4</v>
      </c>
    </row>
    <row r="34" spans="1:4">
      <c r="A34" s="24" t="s">
        <v>139</v>
      </c>
      <c r="B34" s="17" t="s">
        <v>140</v>
      </c>
      <c r="C34" s="59">
        <v>26764.799999999999</v>
      </c>
      <c r="D34" s="19">
        <f>27199.6</f>
        <v>27199.599999999999</v>
      </c>
    </row>
    <row r="35" spans="1:4">
      <c r="A35" s="24" t="s">
        <v>141</v>
      </c>
      <c r="B35" s="17" t="s">
        <v>142</v>
      </c>
      <c r="C35" s="59"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59"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59"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59"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59">
        <v>311224.900000008</v>
      </c>
      <c r="D39" s="19">
        <f>0</f>
        <v>0</v>
      </c>
    </row>
    <row r="40" spans="1:4" ht="21.75" customHeight="1">
      <c r="A40" s="8" t="s">
        <v>151</v>
      </c>
      <c r="B40" s="9" t="s">
        <v>152</v>
      </c>
      <c r="C40" s="60"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60"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60"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60"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60"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60">
        <v>47217.760000000002</v>
      </c>
      <c r="D45" s="27">
        <f>SUM(D46:D48)</f>
        <v>423496.70999999996</v>
      </c>
    </row>
    <row r="46" spans="1:4">
      <c r="A46" s="21" t="s">
        <v>163</v>
      </c>
      <c r="B46" s="17" t="s">
        <v>164</v>
      </c>
      <c r="C46" s="59">
        <v>17963.400000000001</v>
      </c>
      <c r="D46" s="19">
        <f>19901</f>
        <v>19901</v>
      </c>
    </row>
    <row r="47" spans="1:4">
      <c r="A47" s="21" t="s">
        <v>149</v>
      </c>
      <c r="B47" s="17" t="s">
        <v>165</v>
      </c>
      <c r="C47" s="59">
        <v>28594.12</v>
      </c>
      <c r="D47" s="19">
        <f>402935.47</f>
        <v>402935.47</v>
      </c>
    </row>
    <row r="48" spans="1:4">
      <c r="A48" s="21" t="s">
        <v>166</v>
      </c>
      <c r="B48" s="17" t="s">
        <v>167</v>
      </c>
      <c r="C48" s="59">
        <v>660.24</v>
      </c>
      <c r="D48" s="19">
        <f>660.24</f>
        <v>660.24</v>
      </c>
    </row>
    <row r="49" spans="1:4">
      <c r="A49" s="8" t="s">
        <v>440</v>
      </c>
      <c r="B49" s="28" t="s">
        <v>168</v>
      </c>
      <c r="C49" s="61">
        <v>209541.12</v>
      </c>
      <c r="D49" s="30">
        <f>268502.17</f>
        <v>268502.17</v>
      </c>
    </row>
    <row r="50" spans="1:4">
      <c r="A50" s="8" t="s">
        <v>169</v>
      </c>
      <c r="B50" s="9" t="s">
        <v>170</v>
      </c>
      <c r="C50" s="14">
        <f>C8+C25+C40+C41+C42+C43+C44+C45+C49+C51+C52</f>
        <v>2859411.600000008</v>
      </c>
      <c r="D50" s="15">
        <f>D8+D25+D40+D41+D42+D43+D44+D45+D49+D51+D52</f>
        <v>2859411.5999999996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1694301.36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1627035.36</f>
        <v>1627035.36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67266</f>
        <v>67266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899574</f>
        <v>899574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2593875.3600000003</v>
      </c>
      <c r="D59" s="27">
        <f>D54+D57+D58</f>
        <v>0</v>
      </c>
    </row>
    <row r="60" spans="1:4" ht="25.5">
      <c r="A60" s="33" t="s">
        <v>188</v>
      </c>
      <c r="B60" s="9"/>
      <c r="C60" s="34">
        <v>10614</v>
      </c>
      <c r="D60" s="35">
        <v>10614</v>
      </c>
    </row>
    <row r="61" spans="1:4" ht="15.75" thickBot="1">
      <c r="A61" s="36" t="s">
        <v>189</v>
      </c>
      <c r="B61" s="37"/>
      <c r="C61" s="38">
        <f>(C50+C51+C52)/C60/12</f>
        <v>22.450000000000063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43" sqref="E43"/>
    </sheetView>
  </sheetViews>
  <sheetFormatPr defaultColWidth="11.7109375" defaultRowHeight="15"/>
  <cols>
    <col min="1" max="1" width="58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202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7693438.4199999999</v>
      </c>
      <c r="D8" s="11">
        <f>D9+D11+D14+D15</f>
        <v>7620994.0999999996</v>
      </c>
    </row>
    <row r="9" spans="1:4" ht="30">
      <c r="A9" s="12" t="s">
        <v>90</v>
      </c>
      <c r="B9" s="13" t="s">
        <v>91</v>
      </c>
      <c r="C9" s="14">
        <f>6655150.8</f>
        <v>6655150.7999999998</v>
      </c>
      <c r="D9" s="15">
        <v>6518839.96</v>
      </c>
    </row>
    <row r="10" spans="1:4">
      <c r="A10" s="16" t="s">
        <v>92</v>
      </c>
      <c r="B10" s="17" t="s">
        <v>93</v>
      </c>
      <c r="C10" s="18">
        <f>4188270.78341014</f>
        <v>4188270.7834101398</v>
      </c>
      <c r="D10" s="19">
        <f>_8h_E12</f>
        <v>4188270.7834101398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0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1038287.62</v>
      </c>
      <c r="D15" s="15">
        <f>SUM(D16:D24)</f>
        <v>1102154.1400000001</v>
      </c>
    </row>
    <row r="16" spans="1:4">
      <c r="A16" s="22" t="s">
        <v>103</v>
      </c>
      <c r="B16" s="17" t="s">
        <v>104</v>
      </c>
      <c r="C16" s="111">
        <v>833430.96</v>
      </c>
      <c r="D16" s="113">
        <v>857877.08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155415</f>
        <v>155415</v>
      </c>
      <c r="D18" s="19">
        <f>194824.69</f>
        <v>194824.69</v>
      </c>
    </row>
    <row r="19" spans="1:4">
      <c r="A19" s="22" t="s">
        <v>109</v>
      </c>
      <c r="B19" s="17" t="s">
        <v>110</v>
      </c>
      <c r="C19" s="18">
        <f>29089.04</f>
        <v>29089.040000000001</v>
      </c>
      <c r="D19" s="19">
        <f>29108.61</f>
        <v>29108.61</v>
      </c>
    </row>
    <row r="20" spans="1:4">
      <c r="A20" s="22" t="s">
        <v>111</v>
      </c>
      <c r="B20" s="17" t="s">
        <v>112</v>
      </c>
      <c r="C20" s="18">
        <f>20352.62</f>
        <v>20352.62</v>
      </c>
      <c r="D20" s="19">
        <f>20343.76</f>
        <v>20343.759999999998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3570406.66</v>
      </c>
      <c r="D25" s="15">
        <f>D26+D27+D30+D28+D29+D31</f>
        <v>3032569.94</v>
      </c>
    </row>
    <row r="26" spans="1:4" ht="21.75" customHeight="1">
      <c r="A26" s="24" t="s">
        <v>123</v>
      </c>
      <c r="B26" s="20" t="s">
        <v>124</v>
      </c>
      <c r="C26" s="18">
        <f>1491421.92</f>
        <v>1491421.92</v>
      </c>
      <c r="D26" s="19">
        <f>1491421.93</f>
        <v>1491421.93</v>
      </c>
    </row>
    <row r="27" spans="1:4" ht="45">
      <c r="A27" s="24" t="s">
        <v>125</v>
      </c>
      <c r="B27" s="20" t="s">
        <v>126</v>
      </c>
      <c r="C27" s="18">
        <f>105084.36</f>
        <v>105084.36</v>
      </c>
      <c r="D27" s="19">
        <f>105130.16</f>
        <v>105130.16</v>
      </c>
    </row>
    <row r="28" spans="1:4" ht="29.2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135350.64</f>
        <v>135350.64000000001</v>
      </c>
      <c r="D29" s="19">
        <f>134167.33</f>
        <v>134167.32999999999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1021637.74</v>
      </c>
      <c r="D31" s="15">
        <f>SUM(D32:D39)</f>
        <v>484938.52</v>
      </c>
    </row>
    <row r="32" spans="1:4" ht="19.5" customHeight="1">
      <c r="A32" s="24" t="s">
        <v>135</v>
      </c>
      <c r="B32" s="17" t="s">
        <v>136</v>
      </c>
      <c r="C32" s="18">
        <f>91894.23</f>
        <v>91894.23</v>
      </c>
      <c r="D32" s="19">
        <f>91894.28</f>
        <v>91894.28</v>
      </c>
    </row>
    <row r="33" spans="1:4">
      <c r="A33" s="24" t="s">
        <v>137</v>
      </c>
      <c r="B33" s="17" t="s">
        <v>138</v>
      </c>
      <c r="C33" s="18">
        <f>142610.76</f>
        <v>142610.76</v>
      </c>
      <c r="D33" s="19">
        <f>136095.83</f>
        <v>136095.82999999999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256948.41</f>
        <v>256948.41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525636.67000000004</v>
      </c>
      <c r="D39" s="19">
        <v>0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28494.45</f>
        <v>28494.45</v>
      </c>
      <c r="D42" s="27">
        <f>28494.45</f>
        <v>28494.45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344369.54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278059.99</v>
      </c>
      <c r="D45" s="27">
        <f>SUM(D46:D48)</f>
        <v>286520.64999999997</v>
      </c>
    </row>
    <row r="46" spans="1:4">
      <c r="A46" s="21" t="s">
        <v>163</v>
      </c>
      <c r="B46" s="17" t="s">
        <v>164</v>
      </c>
      <c r="C46" s="18">
        <f>78435.84</f>
        <v>78435.839999999997</v>
      </c>
      <c r="D46" s="19">
        <f>86896.5</f>
        <v>86896.5</v>
      </c>
    </row>
    <row r="47" spans="1:4">
      <c r="A47" s="88" t="s">
        <v>496</v>
      </c>
      <c r="B47" s="17" t="s">
        <v>165</v>
      </c>
      <c r="C47" s="18">
        <f>186880.1</f>
        <v>186880.1</v>
      </c>
      <c r="D47" s="19">
        <f>186880.1</f>
        <v>186880.1</v>
      </c>
    </row>
    <row r="48" spans="1:4">
      <c r="A48" s="21" t="s">
        <v>166</v>
      </c>
      <c r="B48" s="17" t="s">
        <v>167</v>
      </c>
      <c r="C48" s="18">
        <v>12744.05</v>
      </c>
      <c r="D48" s="19">
        <v>12744.05</v>
      </c>
    </row>
    <row r="49" spans="1:4">
      <c r="A49" s="8" t="s">
        <v>440</v>
      </c>
      <c r="B49" s="28" t="s">
        <v>168</v>
      </c>
      <c r="C49" s="29">
        <f>914943.48</f>
        <v>914943.48</v>
      </c>
      <c r="D49" s="30">
        <f>1172394.32</f>
        <v>1172394.32</v>
      </c>
    </row>
    <row r="50" spans="1:4">
      <c r="A50" s="8" t="s">
        <v>169</v>
      </c>
      <c r="B50" s="9" t="s">
        <v>170</v>
      </c>
      <c r="C50" s="14">
        <f>C8+C25+C40+C41+C42+C43+C44+C45+C49+C51+C52</f>
        <v>12485343</v>
      </c>
      <c r="D50" s="15">
        <f>D8+D25+D40+D41+D42+D43+D44+D45+D49+D51+D52</f>
        <v>12485342.999999998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7478025.7800000003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7101701.94</f>
        <v>7101701.9400000004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376323.84</f>
        <v>376323.84000000003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3829806</f>
        <v>3829806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11307831.780000001</v>
      </c>
      <c r="D59" s="27">
        <f>D54+D57+D58</f>
        <v>0</v>
      </c>
    </row>
    <row r="60" spans="1:4" ht="25.5">
      <c r="A60" s="33" t="s">
        <v>188</v>
      </c>
      <c r="B60" s="9"/>
      <c r="C60" s="34">
        <v>46345</v>
      </c>
      <c r="D60" s="35">
        <v>46345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D261"/>
  <sheetViews>
    <sheetView topLeftCell="A19" workbookViewId="0">
      <selection activeCell="H27" sqref="H27"/>
    </sheetView>
  </sheetViews>
  <sheetFormatPr defaultColWidth="11.7109375" defaultRowHeight="15"/>
  <cols>
    <col min="1" max="1" width="56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335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1286533.5899999999</v>
      </c>
      <c r="D8" s="11">
        <f>D9+D11+D14+D15</f>
        <v>1296710.58</v>
      </c>
    </row>
    <row r="9" spans="1:4" ht="30">
      <c r="A9" s="12" t="s">
        <v>90</v>
      </c>
      <c r="B9" s="13" t="s">
        <v>91</v>
      </c>
      <c r="C9" s="14">
        <f>1098976.15</f>
        <v>1098976.1499999999</v>
      </c>
      <c r="D9" s="15">
        <f>1083168.85</f>
        <v>1083168.8500000001</v>
      </c>
    </row>
    <row r="10" spans="1:4">
      <c r="A10" s="16" t="s">
        <v>92</v>
      </c>
      <c r="B10" s="17" t="s">
        <v>93</v>
      </c>
      <c r="C10" s="18">
        <f>674206.874039939</f>
        <v>674206.87403993902</v>
      </c>
      <c r="D10" s="19">
        <f>_80h_E12</f>
        <v>674206.87403993902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187557.44</v>
      </c>
      <c r="D15" s="15">
        <f>SUM(D16:D24)</f>
        <v>213541.73</v>
      </c>
    </row>
    <row r="16" spans="1:4">
      <c r="A16" s="22" t="s">
        <v>103</v>
      </c>
      <c r="B16" s="17" t="s">
        <v>104</v>
      </c>
      <c r="C16" s="111">
        <v>133446.72</v>
      </c>
      <c r="D16" s="113">
        <v>151693.32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30508.44</f>
        <v>30508.44</v>
      </c>
      <c r="D18" s="19">
        <f>38244.61</f>
        <v>38244.61</v>
      </c>
    </row>
    <row r="19" spans="1:4">
      <c r="A19" s="22" t="s">
        <v>109</v>
      </c>
      <c r="B19" s="17" t="s">
        <v>110</v>
      </c>
      <c r="C19" s="18">
        <f>4221.66</f>
        <v>4221.66</v>
      </c>
      <c r="D19" s="19">
        <f>4224.48</f>
        <v>4224.4799999999996</v>
      </c>
    </row>
    <row r="20" spans="1:4">
      <c r="A20" s="22" t="s">
        <v>111</v>
      </c>
      <c r="B20" s="17" t="s">
        <v>112</v>
      </c>
      <c r="C20" s="18">
        <f>2926.5</f>
        <v>2926.5</v>
      </c>
      <c r="D20" s="19">
        <f>2925.2</f>
        <v>2925.2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713365.16999999003</v>
      </c>
      <c r="D25" s="15">
        <f>D26+D27+D30+D28+D29+D31</f>
        <v>656903.23</v>
      </c>
    </row>
    <row r="26" spans="1:4" ht="24" customHeight="1">
      <c r="A26" s="24" t="s">
        <v>123</v>
      </c>
      <c r="B26" s="20" t="s">
        <v>124</v>
      </c>
      <c r="C26" s="18">
        <f>226741.23</f>
        <v>226741.23</v>
      </c>
      <c r="D26" s="19">
        <f>224379.31</f>
        <v>224379.31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3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23559.6</f>
        <v>23559.599999999999</v>
      </c>
      <c r="D29" s="19">
        <f>23353.55</f>
        <v>23353.55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308385.29999999003</v>
      </c>
      <c r="D31" s="15">
        <f>SUM(D32:D39)</f>
        <v>254476.02</v>
      </c>
    </row>
    <row r="32" spans="1:4" ht="21.75" customHeight="1">
      <c r="A32" s="24" t="s">
        <v>135</v>
      </c>
      <c r="B32" s="17" t="s">
        <v>136</v>
      </c>
      <c r="C32" s="18">
        <f>15315.71</f>
        <v>15315.71</v>
      </c>
      <c r="D32" s="19">
        <f>15315.68</f>
        <v>15315.68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23826.01</f>
        <v>23826.01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72000</f>
        <v>72000</v>
      </c>
      <c r="D37" s="19">
        <f>72000</f>
        <v>72000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f>147216.06999999</f>
        <v>147216.06999999</v>
      </c>
      <c r="D39" s="19">
        <f>95235.9</f>
        <v>95235.9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14092.92</v>
      </c>
      <c r="D45" s="27">
        <f>SUM(D46:D48)</f>
        <v>15565.539999999999</v>
      </c>
    </row>
    <row r="46" spans="1:4">
      <c r="A46" s="21" t="s">
        <v>163</v>
      </c>
      <c r="B46" s="17" t="s">
        <v>164</v>
      </c>
      <c r="C46" s="18">
        <f>13652.76</f>
        <v>13652.76</v>
      </c>
      <c r="D46" s="19">
        <f>15125.38</f>
        <v>15125.38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159258.12</f>
        <v>159258.12</v>
      </c>
      <c r="D49" s="30">
        <f>204070.45</f>
        <v>204070.45</v>
      </c>
    </row>
    <row r="50" spans="1:4">
      <c r="A50" s="8" t="s">
        <v>169</v>
      </c>
      <c r="B50" s="9" t="s">
        <v>170</v>
      </c>
      <c r="C50" s="14">
        <f>C8+C25+C40+C41+C42+C43+C44+C45+C49+C51+C52</f>
        <v>2173249.79999999</v>
      </c>
      <c r="D50" s="15">
        <f>D8+D25+D40+D41+D42+D43+D44+D45+D49+D51+D52</f>
        <v>2173249.8000000003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1247412.1199999999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1181568.72</f>
        <v>1181568.72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65843.4</f>
        <v>65843.399999999994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632862</f>
        <v>632862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1880274.1199999999</v>
      </c>
      <c r="D59" s="27">
        <f>D54+D57+D58</f>
        <v>0</v>
      </c>
    </row>
    <row r="60" spans="1:4" ht="25.5">
      <c r="A60" s="33" t="s">
        <v>188</v>
      </c>
      <c r="B60" s="9"/>
      <c r="C60" s="34">
        <v>8067</v>
      </c>
      <c r="D60" s="35">
        <v>8067</v>
      </c>
    </row>
    <row r="61" spans="1:4" ht="15.75" thickBot="1">
      <c r="A61" s="36" t="s">
        <v>189</v>
      </c>
      <c r="B61" s="37"/>
      <c r="C61" s="38">
        <f>(C50+C51+C52)/C60/12</f>
        <v>22.4499999999999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H42" sqref="H42"/>
    </sheetView>
  </sheetViews>
  <sheetFormatPr defaultColWidth="11.7109375" defaultRowHeight="15"/>
  <cols>
    <col min="1" max="1" width="60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337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1306282.27</v>
      </c>
      <c r="D8" s="11">
        <f>D9+D11+D14+D15</f>
        <v>1244216.6300000001</v>
      </c>
    </row>
    <row r="9" spans="1:4" ht="30">
      <c r="A9" s="12" t="s">
        <v>90</v>
      </c>
      <c r="B9" s="13" t="s">
        <v>91</v>
      </c>
      <c r="C9" s="14">
        <f>1113979.09</f>
        <v>1113979.0900000001</v>
      </c>
      <c r="D9" s="15">
        <f>1065473.34</f>
        <v>1065473.3400000001</v>
      </c>
    </row>
    <row r="10" spans="1:4">
      <c r="A10" s="16" t="s">
        <v>92</v>
      </c>
      <c r="B10" s="17" t="s">
        <v>93</v>
      </c>
      <c r="C10" s="18">
        <f>685056.13671275</f>
        <v>685056.13671274995</v>
      </c>
      <c r="D10" s="19">
        <f>_81h_E12</f>
        <v>685056.13671274995</v>
      </c>
    </row>
    <row r="11" spans="1:4" ht="18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192303.18</v>
      </c>
      <c r="D15" s="15">
        <f>SUM(D16:D24)</f>
        <v>178743.28999999998</v>
      </c>
    </row>
    <row r="16" spans="1:4">
      <c r="A16" s="22" t="s">
        <v>103</v>
      </c>
      <c r="B16" s="17" t="s">
        <v>104</v>
      </c>
      <c r="C16" s="111">
        <v>138286.20000000001</v>
      </c>
      <c r="D16" s="113">
        <v>117008.3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30430.8</f>
        <v>30430.799999999999</v>
      </c>
      <c r="D18" s="19">
        <f>38147.29</f>
        <v>38147.29</v>
      </c>
    </row>
    <row r="19" spans="1:4">
      <c r="A19" s="22" t="s">
        <v>109</v>
      </c>
      <c r="B19" s="17" t="s">
        <v>110</v>
      </c>
      <c r="C19" s="18">
        <f>4212.4</f>
        <v>4212.3999999999996</v>
      </c>
      <c r="D19" s="19">
        <f>4215.22</f>
        <v>4215.22</v>
      </c>
    </row>
    <row r="20" spans="1:4">
      <c r="A20" s="22" t="s">
        <v>111</v>
      </c>
      <c r="B20" s="17" t="s">
        <v>112</v>
      </c>
      <c r="C20" s="18">
        <f>2919.66</f>
        <v>2919.66</v>
      </c>
      <c r="D20" s="19">
        <f>2918.36</f>
        <v>2918.36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701551.25</v>
      </c>
      <c r="D25" s="15">
        <f>D26+D27+D30+D28+D29+D31</f>
        <v>717148.33000000007</v>
      </c>
    </row>
    <row r="26" spans="1:4" ht="17.25" customHeight="1">
      <c r="A26" s="24" t="s">
        <v>123</v>
      </c>
      <c r="B26" s="20" t="s">
        <v>124</v>
      </c>
      <c r="C26" s="18">
        <f>226741.2</f>
        <v>226741.2</v>
      </c>
      <c r="D26" s="19">
        <f>224379.31</f>
        <v>224379.31</v>
      </c>
    </row>
    <row r="27" spans="1:4" ht="35.25" customHeight="1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0.75" customHeight="1">
      <c r="A28" s="21" t="s">
        <v>127</v>
      </c>
      <c r="B28" s="20" t="s">
        <v>128</v>
      </c>
      <c r="C28" s="18">
        <f>185457.6</f>
        <v>185457.6</v>
      </c>
      <c r="D28" s="19">
        <f>185457.48</f>
        <v>185457.48</v>
      </c>
    </row>
    <row r="29" spans="1:4">
      <c r="A29" s="21" t="s">
        <v>129</v>
      </c>
      <c r="B29" s="20" t="s">
        <v>130</v>
      </c>
      <c r="C29" s="18">
        <f>23653.08</f>
        <v>23653.08</v>
      </c>
      <c r="D29" s="19">
        <f>23446.28</f>
        <v>23446.28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247172.33000000002</v>
      </c>
      <c r="D31" s="15">
        <f>SUM(D32:D39)</f>
        <v>265322.91000000003</v>
      </c>
    </row>
    <row r="32" spans="1:4" ht="18.75" customHeight="1">
      <c r="A32" s="24" t="s">
        <v>135</v>
      </c>
      <c r="B32" s="17" t="s">
        <v>136</v>
      </c>
      <c r="C32" s="18">
        <f>15315.71</f>
        <v>15315.71</v>
      </c>
      <c r="D32" s="19">
        <f>15315.68</f>
        <v>15315.68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27160.47</f>
        <v>27160.47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72000</f>
        <v>72000</v>
      </c>
      <c r="D37" s="19">
        <f>72000</f>
        <v>72000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479</v>
      </c>
      <c r="B39" s="17" t="s">
        <v>150</v>
      </c>
      <c r="C39" s="18">
        <f>86003.1</f>
        <v>86003.1</v>
      </c>
      <c r="D39" s="19">
        <f>102748.33</f>
        <v>102748.33</v>
      </c>
    </row>
    <row r="40" spans="1:4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14147.16</v>
      </c>
      <c r="D45" s="27">
        <f>SUM(D46:D48)</f>
        <v>15625.65</v>
      </c>
    </row>
    <row r="46" spans="1:4">
      <c r="A46" s="21" t="s">
        <v>163</v>
      </c>
      <c r="B46" s="17" t="s">
        <v>164</v>
      </c>
      <c r="C46" s="18">
        <f>13707</f>
        <v>13707</v>
      </c>
      <c r="D46" s="19">
        <f>15185.49</f>
        <v>15185.49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159889.92</f>
        <v>159889.92000000001</v>
      </c>
      <c r="D49" s="30">
        <f>204879.99</f>
        <v>204879.99</v>
      </c>
    </row>
    <row r="50" spans="1:4">
      <c r="A50" s="8" t="s">
        <v>169</v>
      </c>
      <c r="B50" s="9" t="s">
        <v>170</v>
      </c>
      <c r="C50" s="14">
        <f>C8+C25+C40+C41+C42+C43+C44+C45+C49+C51+C52</f>
        <v>2181870.6</v>
      </c>
      <c r="D50" s="15">
        <f>D8+D25+D40+D41+D42+D43+D44+D45+D49+D51+D52</f>
        <v>2181870.6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1275092.5799999998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1229594.7</f>
        <v>1229594.7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45497.88</f>
        <v>45497.88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665004</f>
        <v>665004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1940096.5799999998</v>
      </c>
      <c r="D59" s="27">
        <f>D54+D57+D58</f>
        <v>0</v>
      </c>
    </row>
    <row r="60" spans="1:4" ht="25.5">
      <c r="A60" s="33" t="s">
        <v>188</v>
      </c>
      <c r="B60" s="9"/>
      <c r="C60" s="34">
        <v>8099</v>
      </c>
      <c r="D60" s="35">
        <v>8099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D261"/>
  <sheetViews>
    <sheetView topLeftCell="A28" workbookViewId="0">
      <selection activeCell="A39" sqref="A39"/>
    </sheetView>
  </sheetViews>
  <sheetFormatPr defaultColWidth="11.7109375" defaultRowHeight="15"/>
  <cols>
    <col min="1" max="1" width="63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339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1321058.3</v>
      </c>
      <c r="D8" s="11">
        <f>D9+D11+D14+D15</f>
        <v>1270077.79</v>
      </c>
    </row>
    <row r="9" spans="1:4" ht="30">
      <c r="A9" s="12" t="s">
        <v>90</v>
      </c>
      <c r="B9" s="13" t="s">
        <v>91</v>
      </c>
      <c r="C9" s="14">
        <f>1127416.06</f>
        <v>1127416.06</v>
      </c>
      <c r="D9" s="15">
        <f>1095287.43</f>
        <v>1095287.43</v>
      </c>
    </row>
    <row r="10" spans="1:4">
      <c r="A10" s="16" t="s">
        <v>92</v>
      </c>
      <c r="B10" s="17" t="s">
        <v>93</v>
      </c>
      <c r="C10" s="18">
        <f>694492.058371736</f>
        <v>694492.05837173597</v>
      </c>
      <c r="D10" s="19">
        <f>_82h_E12</f>
        <v>694492.05837173597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193642.23999999999</v>
      </c>
      <c r="D15" s="15">
        <f>SUM(D16:D24)</f>
        <v>174790.36000000002</v>
      </c>
    </row>
    <row r="16" spans="1:4">
      <c r="A16" s="22" t="s">
        <v>103</v>
      </c>
      <c r="B16" s="17" t="s">
        <v>104</v>
      </c>
      <c r="C16" s="111">
        <v>137954.76</v>
      </c>
      <c r="D16" s="113">
        <v>110971.46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32061.12</f>
        <v>32061.119999999999</v>
      </c>
      <c r="D18" s="19">
        <f>40191</f>
        <v>40191</v>
      </c>
    </row>
    <row r="19" spans="1:4">
      <c r="A19" s="22" t="s">
        <v>109</v>
      </c>
      <c r="B19" s="17" t="s">
        <v>110</v>
      </c>
      <c r="C19" s="18">
        <f>4235.5</f>
        <v>4235.5</v>
      </c>
      <c r="D19" s="19">
        <f>4238.34</f>
        <v>4238.34</v>
      </c>
    </row>
    <row r="20" spans="1:4">
      <c r="A20" s="22" t="s">
        <v>111</v>
      </c>
      <c r="B20" s="17" t="s">
        <v>112</v>
      </c>
      <c r="C20" s="18">
        <f>2936.74</f>
        <v>2936.74</v>
      </c>
      <c r="D20" s="19">
        <f>2935.44</f>
        <v>2935.44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697108.96000000008</v>
      </c>
      <c r="D25" s="15">
        <f>D26+D27+D30+D28+D29+D31</f>
        <v>701379.97</v>
      </c>
    </row>
    <row r="26" spans="1:4" ht="21" customHeight="1">
      <c r="A26" s="24" t="s">
        <v>123</v>
      </c>
      <c r="B26" s="20" t="s">
        <v>124</v>
      </c>
      <c r="C26" s="18">
        <f>226741.2</f>
        <v>226741.2</v>
      </c>
      <c r="D26" s="19">
        <f>226741.2</f>
        <v>226741.2</v>
      </c>
    </row>
    <row r="27" spans="1:4" ht="34.5" customHeight="1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4.5" customHeight="1">
      <c r="A28" s="21" t="s">
        <v>127</v>
      </c>
      <c r="B28" s="20" t="s">
        <v>128</v>
      </c>
      <c r="C28" s="18">
        <f>185457.6</f>
        <v>185457.6</v>
      </c>
      <c r="D28" s="19">
        <f>185457.48</f>
        <v>185457.48</v>
      </c>
    </row>
    <row r="29" spans="1:4">
      <c r="A29" s="21" t="s">
        <v>129</v>
      </c>
      <c r="B29" s="20" t="s">
        <v>130</v>
      </c>
      <c r="C29" s="18">
        <f>23775.72</f>
        <v>23775.72</v>
      </c>
      <c r="D29" s="19">
        <f>23567.77</f>
        <v>23567.77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242607.40000000002</v>
      </c>
      <c r="D31" s="15">
        <f>SUM(D32:D39)</f>
        <v>247071.16999999998</v>
      </c>
    </row>
    <row r="32" spans="1:4" ht="20.25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33948.08</f>
        <v>33948.080000000002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72000</f>
        <v>72000</v>
      </c>
      <c r="D37" s="19">
        <f>72000</f>
        <v>72000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479</v>
      </c>
      <c r="B39" s="17" t="s">
        <v>150</v>
      </c>
      <c r="C39" s="18">
        <f>81438.17</f>
        <v>81438.17</v>
      </c>
      <c r="D39" s="19">
        <f>77708.99</f>
        <v>77708.990000000005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9.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14218.2</v>
      </c>
      <c r="D45" s="27">
        <f>SUM(D46:D48)</f>
        <v>15704.35</v>
      </c>
    </row>
    <row r="46" spans="1:4">
      <c r="A46" s="21" t="s">
        <v>163</v>
      </c>
      <c r="B46" s="17" t="s">
        <v>164</v>
      </c>
      <c r="C46" s="18">
        <f>13778.04</f>
        <v>13778.04</v>
      </c>
      <c r="D46" s="19">
        <f>15264.19</f>
        <v>15264.19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160719.12</f>
        <v>160719.12</v>
      </c>
      <c r="D49" s="30">
        <f>205942.47</f>
        <v>205942.47</v>
      </c>
    </row>
    <row r="50" spans="1:4">
      <c r="A50" s="8" t="s">
        <v>169</v>
      </c>
      <c r="B50" s="9" t="s">
        <v>170</v>
      </c>
      <c r="C50" s="14">
        <f>C8+C25+C40+C41+C42+C43+C44+C45+C49+C51+C52</f>
        <v>2193104.58</v>
      </c>
      <c r="D50" s="15">
        <f>D8+D25+D40+D41+D42+D43+D44+D45+D49+D51+D52</f>
        <v>2193104.58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1335880.9200000002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1270327.08</f>
        <v>1270327.08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65553.84</f>
        <v>65553.84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692508</f>
        <v>692508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2028388.9200000002</v>
      </c>
      <c r="D59" s="27">
        <f>D54+D57+D58</f>
        <v>0</v>
      </c>
    </row>
    <row r="60" spans="1:4" ht="25.5">
      <c r="A60" s="33" t="s">
        <v>188</v>
      </c>
      <c r="B60" s="9"/>
      <c r="C60" s="34">
        <v>8140.7</v>
      </c>
      <c r="D60" s="35">
        <v>8140.7</v>
      </c>
    </row>
    <row r="61" spans="1:4" ht="15.75" thickBot="1">
      <c r="A61" s="36" t="s">
        <v>189</v>
      </c>
      <c r="B61" s="37"/>
      <c r="C61" s="38">
        <f>(C50+C51+C52)/C60/12</f>
        <v>22.450000000000003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J35" sqref="J35"/>
    </sheetView>
  </sheetViews>
  <sheetFormatPr defaultColWidth="11.7109375" defaultRowHeight="15"/>
  <cols>
    <col min="1" max="1" width="58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341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1363149.6400000001</v>
      </c>
      <c r="D8" s="11">
        <f>D9+D11+D14+D15</f>
        <v>1312216.5</v>
      </c>
    </row>
    <row r="9" spans="1:4" ht="30">
      <c r="A9" s="12" t="s">
        <v>90</v>
      </c>
      <c r="B9" s="13" t="s">
        <v>91</v>
      </c>
      <c r="C9" s="14">
        <f>1162873.32</f>
        <v>1162873.32</v>
      </c>
      <c r="D9" s="15">
        <f>1127689.13</f>
        <v>1127689.1299999999</v>
      </c>
    </row>
    <row r="10" spans="1:4">
      <c r="A10" s="16" t="s">
        <v>92</v>
      </c>
      <c r="B10" s="17" t="s">
        <v>93</v>
      </c>
      <c r="C10" s="18">
        <f>722167.096774194</f>
        <v>722167.09677419404</v>
      </c>
      <c r="D10" s="19">
        <f>_83h_E12</f>
        <v>722167.09677419404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200276.31999999998</v>
      </c>
      <c r="D15" s="15">
        <f>SUM(D16:D24)</f>
        <v>184527.37000000002</v>
      </c>
    </row>
    <row r="16" spans="1:4">
      <c r="A16" s="22" t="s">
        <v>103</v>
      </c>
      <c r="B16" s="17" t="s">
        <v>104</v>
      </c>
      <c r="C16" s="111">
        <v>140407.67999999999</v>
      </c>
      <c r="D16" s="113">
        <v>115444.64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36330.72</f>
        <v>36330.720000000001</v>
      </c>
      <c r="D18" s="19">
        <f>45543.3</f>
        <v>45543.3</v>
      </c>
    </row>
    <row r="19" spans="1:4">
      <c r="A19" s="22" t="s">
        <v>109</v>
      </c>
      <c r="B19" s="17" t="s">
        <v>110</v>
      </c>
      <c r="C19" s="18">
        <f>4184.62</f>
        <v>4184.62</v>
      </c>
      <c r="D19" s="19">
        <f>4187.42</f>
        <v>4187.42</v>
      </c>
    </row>
    <row r="20" spans="1:4">
      <c r="A20" s="22" t="s">
        <v>111</v>
      </c>
      <c r="B20" s="17" t="s">
        <v>112</v>
      </c>
      <c r="C20" s="18">
        <f>2899.18</f>
        <v>2899.18</v>
      </c>
      <c r="D20" s="19">
        <f>2897.89</f>
        <v>2897.89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649945.28000000329</v>
      </c>
      <c r="D25" s="15">
        <f>D26+D27+D30+D28+D29+D31</f>
        <v>652741.49</v>
      </c>
    </row>
    <row r="26" spans="1:4" ht="21" customHeight="1">
      <c r="A26" s="24" t="s">
        <v>123</v>
      </c>
      <c r="B26" s="20" t="s">
        <v>124</v>
      </c>
      <c r="C26" s="18">
        <f>226741.2</f>
        <v>226741.2</v>
      </c>
      <c r="D26" s="19">
        <f>224379.31</f>
        <v>224379.31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3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23714.4</f>
        <v>23714.400000000001</v>
      </c>
      <c r="D29" s="19">
        <f>23506.98</f>
        <v>23506.98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244810.64000000322</v>
      </c>
      <c r="D31" s="15">
        <f>SUM(D32:D39)</f>
        <v>250160.84999999998</v>
      </c>
    </row>
    <row r="32" spans="1:4" ht="17.25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21389.82</f>
        <v>21389.82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72000</f>
        <v>72000</v>
      </c>
      <c r="D37" s="19">
        <f>72000</f>
        <v>72000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18">
        <f>83641.4100000032</f>
        <v>83641.410000003205</v>
      </c>
      <c r="D39" s="19">
        <f>93356.93</f>
        <v>93356.93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14182.68</v>
      </c>
      <c r="D45" s="27">
        <f>SUM(D46:D48)</f>
        <v>15665.01</v>
      </c>
    </row>
    <row r="46" spans="1:4">
      <c r="A46" s="21" t="s">
        <v>163</v>
      </c>
      <c r="B46" s="17" t="s">
        <v>164</v>
      </c>
      <c r="C46" s="18">
        <f>13742.52</f>
        <v>13742.52</v>
      </c>
      <c r="D46" s="19">
        <f>15224.85</f>
        <v>15224.85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160304.28</f>
        <v>160304.28</v>
      </c>
      <c r="D49" s="30">
        <f>206958.88</f>
        <v>206958.88</v>
      </c>
    </row>
    <row r="50" spans="1:4">
      <c r="A50" s="8" t="s">
        <v>169</v>
      </c>
      <c r="B50" s="9" t="s">
        <v>170</v>
      </c>
      <c r="C50" s="14">
        <f>C8+C25+C40+C41+C42+C43+C44+C45+C49+C51+C52</f>
        <v>2187581.8800000031</v>
      </c>
      <c r="D50" s="15">
        <f>D8+D25+D40+D41+D42+D43+D44+D45+D49+D51+D52</f>
        <v>2187581.88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1357477.5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1301601.66</f>
        <v>1301601.6599999999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55875.84</f>
        <v>55875.839999999997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714456</f>
        <v>714456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2071933.5</v>
      </c>
      <c r="D59" s="27">
        <f>D54+D57+D58</f>
        <v>0</v>
      </c>
    </row>
    <row r="60" spans="1:4" ht="25.5">
      <c r="A60" s="33" t="s">
        <v>188</v>
      </c>
      <c r="B60" s="9"/>
      <c r="C60" s="34">
        <v>8120.2</v>
      </c>
      <c r="D60" s="35">
        <v>8120.2</v>
      </c>
    </row>
    <row r="61" spans="1:4" ht="15.75" thickBot="1">
      <c r="A61" s="36" t="s">
        <v>189</v>
      </c>
      <c r="B61" s="37"/>
      <c r="C61" s="38">
        <f>(C50+C51+C52)/C60/12</f>
        <v>22.450000000000031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G51" sqref="G51"/>
    </sheetView>
  </sheetViews>
  <sheetFormatPr defaultColWidth="11.7109375" defaultRowHeight="15"/>
  <cols>
    <col min="1" max="1" width="59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343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1315637.9300000002</v>
      </c>
      <c r="D8" s="11">
        <f>D9+D11+D14+D15</f>
        <v>1316638.6000000001</v>
      </c>
    </row>
    <row r="9" spans="1:4" ht="30">
      <c r="A9" s="12" t="s">
        <v>90</v>
      </c>
      <c r="B9" s="13" t="s">
        <v>91</v>
      </c>
      <c r="C9" s="14">
        <f>1122498.33</f>
        <v>1122498.33</v>
      </c>
      <c r="D9" s="15">
        <f>1112931.01</f>
        <v>1112931.01</v>
      </c>
    </row>
    <row r="10" spans="1:4">
      <c r="A10" s="16" t="s">
        <v>92</v>
      </c>
      <c r="B10" s="17" t="s">
        <v>93</v>
      </c>
      <c r="C10" s="18">
        <f>690925.506912443</f>
        <v>690925.50691244297</v>
      </c>
      <c r="D10" s="19">
        <f>_84h_E12</f>
        <v>690925.50691244297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193139.6</v>
      </c>
      <c r="D15" s="15">
        <f>SUM(D16:D24)</f>
        <v>203707.59</v>
      </c>
    </row>
    <row r="16" spans="1:4">
      <c r="A16" s="22" t="s">
        <v>103</v>
      </c>
      <c r="B16" s="17" t="s">
        <v>104</v>
      </c>
      <c r="C16" s="111">
        <v>138153.60000000001</v>
      </c>
      <c r="D16" s="113">
        <v>140747.65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31440</f>
        <v>31440</v>
      </c>
      <c r="D18" s="19">
        <f>39412.42</f>
        <v>39412.42</v>
      </c>
    </row>
    <row r="19" spans="1:4">
      <c r="A19" s="22" t="s">
        <v>109</v>
      </c>
      <c r="B19" s="17" t="s">
        <v>110</v>
      </c>
      <c r="C19" s="18">
        <f>4189.32</f>
        <v>4189.32</v>
      </c>
      <c r="D19" s="19">
        <f>4192.12</f>
        <v>4192.12</v>
      </c>
    </row>
    <row r="20" spans="1:4">
      <c r="A20" s="22" t="s">
        <v>111</v>
      </c>
      <c r="B20" s="17" t="s">
        <v>112</v>
      </c>
      <c r="C20" s="18">
        <f>2902.56</f>
        <v>2902.56</v>
      </c>
      <c r="D20" s="19">
        <f>2901.28</f>
        <v>2901.28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669903.53000000399</v>
      </c>
      <c r="D25" s="15">
        <f>D26+D27+D30+D28+D29+D31</f>
        <v>622250.68999999994</v>
      </c>
    </row>
    <row r="26" spans="1:4" ht="20.25" customHeight="1">
      <c r="A26" s="24" t="s">
        <v>123</v>
      </c>
      <c r="B26" s="20" t="s">
        <v>124</v>
      </c>
      <c r="C26" s="18">
        <f>226741.2</f>
        <v>226741.2</v>
      </c>
      <c r="D26" s="19">
        <f>223434.54</f>
        <v>223434.54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3.7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23746.56</f>
        <v>23746.560000000001</v>
      </c>
      <c r="D29" s="19">
        <f>23538.92</f>
        <v>23538.92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264736.730000004</v>
      </c>
      <c r="D31" s="15">
        <f>SUM(D32:D39)</f>
        <v>220582.88</v>
      </c>
    </row>
    <row r="32" spans="1:4" ht="17.25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22443.16</f>
        <v>22443.16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7.25" customHeight="1">
      <c r="A37" s="24" t="s">
        <v>145</v>
      </c>
      <c r="B37" s="17" t="s">
        <v>146</v>
      </c>
      <c r="C37" s="18">
        <f>72000</f>
        <v>72000</v>
      </c>
      <c r="D37" s="19">
        <f>72000</f>
        <v>72000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479</v>
      </c>
      <c r="B39" s="17" t="s">
        <v>150</v>
      </c>
      <c r="C39" s="18">
        <f>103567.500000004</f>
        <v>103567.500000004</v>
      </c>
      <c r="D39" s="19">
        <f>62725.62</f>
        <v>62725.62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44401.280000000006</v>
      </c>
      <c r="D45" s="27">
        <f>SUM(D46:D48)</f>
        <v>45885.600000000006</v>
      </c>
    </row>
    <row r="46" spans="1:4">
      <c r="A46" s="21" t="s">
        <v>163</v>
      </c>
      <c r="B46" s="17" t="s">
        <v>164</v>
      </c>
      <c r="C46" s="18">
        <f>13761.12</f>
        <v>13761.12</v>
      </c>
      <c r="D46" s="19">
        <f>15245.44</f>
        <v>15245.44</v>
      </c>
    </row>
    <row r="47" spans="1:4">
      <c r="A47" s="88" t="s">
        <v>501</v>
      </c>
      <c r="B47" s="17" t="s">
        <v>502</v>
      </c>
      <c r="C47" s="18">
        <f>30200</f>
        <v>30200</v>
      </c>
      <c r="D47" s="19">
        <f>30200</f>
        <v>30200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160521.72</f>
        <v>160521.72</v>
      </c>
      <c r="D49" s="30">
        <f>205689.57</f>
        <v>205689.57</v>
      </c>
    </row>
    <row r="50" spans="1:4">
      <c r="A50" s="8" t="s">
        <v>169</v>
      </c>
      <c r="B50" s="9" t="s">
        <v>170</v>
      </c>
      <c r="C50" s="14">
        <f>C8+C25+C40+C41+C42+C43+C44+C45+C49+C51+C52</f>
        <v>2190464.4600000042</v>
      </c>
      <c r="D50" s="15">
        <f>D8+D25+D40+D41+D42+D43+D44+D45+D49+D51+D52</f>
        <v>2190464.46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1303975.02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1238627.22</f>
        <v>1238627.22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65347.8</f>
        <v>65347.8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670452</f>
        <v>670452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1974427.02</v>
      </c>
      <c r="D59" s="27">
        <f>D54+D57+D58</f>
        <v>0</v>
      </c>
    </row>
    <row r="60" spans="1:4" ht="25.5">
      <c r="A60" s="33" t="s">
        <v>188</v>
      </c>
      <c r="B60" s="9"/>
      <c r="C60" s="34">
        <v>8130.9</v>
      </c>
      <c r="D60" s="35">
        <v>8130.9</v>
      </c>
    </row>
    <row r="61" spans="1:4" ht="15.75" thickBot="1">
      <c r="A61" s="36" t="s">
        <v>189</v>
      </c>
      <c r="B61" s="37"/>
      <c r="C61" s="38">
        <f>(C50+C51+C52)/C60/12</f>
        <v>22.450000000000045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D261"/>
  <sheetViews>
    <sheetView topLeftCell="A25" workbookViewId="0">
      <selection activeCell="A39" sqref="A39"/>
    </sheetView>
  </sheetViews>
  <sheetFormatPr defaultColWidth="11.7109375" defaultRowHeight="15"/>
  <cols>
    <col min="1" max="1" width="60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345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1308853.73</v>
      </c>
      <c r="D8" s="11">
        <f>D9+D11+D14+D15</f>
        <v>1322836.46</v>
      </c>
    </row>
    <row r="9" spans="1:4" ht="30">
      <c r="A9" s="12" t="s">
        <v>90</v>
      </c>
      <c r="B9" s="13" t="s">
        <v>91</v>
      </c>
      <c r="C9" s="14">
        <f>1116645.69</f>
        <v>1116645.69</v>
      </c>
      <c r="D9" s="15">
        <f>1110867.63</f>
        <v>1110867.6299999999</v>
      </c>
    </row>
    <row r="10" spans="1:4">
      <c r="A10" s="16" t="s">
        <v>92</v>
      </c>
      <c r="B10" s="17" t="s">
        <v>93</v>
      </c>
      <c r="C10" s="18">
        <f>686241.082949309</f>
        <v>686241.08294930903</v>
      </c>
      <c r="D10" s="19">
        <f>_85h_E12</f>
        <v>686241.08294930903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192208.04</v>
      </c>
      <c r="D15" s="15">
        <f>SUM(D16:D24)</f>
        <v>211968.83</v>
      </c>
    </row>
    <row r="16" spans="1:4">
      <c r="A16" s="22" t="s">
        <v>103</v>
      </c>
      <c r="B16" s="17" t="s">
        <v>104</v>
      </c>
      <c r="C16" s="111">
        <v>138153.60000000001</v>
      </c>
      <c r="D16" s="113">
        <v>150176.70000000001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30508.44</f>
        <v>30508.44</v>
      </c>
      <c r="D18" s="19">
        <f>38244.61</f>
        <v>38244.61</v>
      </c>
    </row>
    <row r="19" spans="1:4">
      <c r="A19" s="22" t="s">
        <v>109</v>
      </c>
      <c r="B19" s="17" t="s">
        <v>110</v>
      </c>
      <c r="C19" s="18">
        <f>4189.32</f>
        <v>4189.32</v>
      </c>
      <c r="D19" s="19">
        <f>4192.12</f>
        <v>4192.12</v>
      </c>
    </row>
    <row r="20" spans="1:4">
      <c r="A20" s="22" t="s">
        <v>111</v>
      </c>
      <c r="B20" s="17" t="s">
        <v>112</v>
      </c>
      <c r="C20" s="18">
        <f>2902.56</f>
        <v>2902.56</v>
      </c>
      <c r="D20" s="19">
        <f>2901.28</f>
        <v>2901.28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678946.1899999911</v>
      </c>
      <c r="D25" s="15">
        <f>D26+D27+D30+D28+D29+D31</f>
        <v>618259.67999999993</v>
      </c>
    </row>
    <row r="26" spans="1:4" ht="21.75" customHeight="1">
      <c r="A26" s="24" t="s">
        <v>123</v>
      </c>
      <c r="B26" s="20" t="s">
        <v>124</v>
      </c>
      <c r="C26" s="18">
        <f>226741.2</f>
        <v>226741.2</v>
      </c>
      <c r="D26" s="19">
        <f>222017.41</f>
        <v>222017.41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0.7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23772.84</f>
        <v>23772.84</v>
      </c>
      <c r="D29" s="19">
        <f>23564.98</f>
        <v>23564.98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273753.10999999102</v>
      </c>
      <c r="D31" s="15">
        <f>SUM(D32:D39)</f>
        <v>217982.94</v>
      </c>
    </row>
    <row r="32" spans="1:4" ht="21.75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28749.51</f>
        <v>28749.51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72000</f>
        <v>72000</v>
      </c>
      <c r="D37" s="19">
        <f>72000</f>
        <v>72000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479</v>
      </c>
      <c r="B39" s="17" t="s">
        <v>150</v>
      </c>
      <c r="C39" s="18">
        <f>112583.879999991</f>
        <v>112583.879999991</v>
      </c>
      <c r="D39" s="19">
        <f>53819.33</f>
        <v>53819.33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44416.520000000004</v>
      </c>
      <c r="D45" s="27">
        <f>SUM(D46:D48)</f>
        <v>45902.48</v>
      </c>
    </row>
    <row r="46" spans="1:4">
      <c r="A46" s="21" t="s">
        <v>163</v>
      </c>
      <c r="B46" s="17" t="s">
        <v>164</v>
      </c>
      <c r="C46" s="18">
        <f>13776.36</f>
        <v>13776.36</v>
      </c>
      <c r="D46" s="19">
        <f>15262.33</f>
        <v>15262.33</v>
      </c>
    </row>
    <row r="47" spans="1:4">
      <c r="A47" s="21" t="s">
        <v>149</v>
      </c>
      <c r="B47" s="17" t="s">
        <v>165</v>
      </c>
      <c r="C47" s="18">
        <f>30200</f>
        <v>30200</v>
      </c>
      <c r="D47" s="19">
        <f>30199.99</f>
        <v>30199.99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160699.56</f>
        <v>160699.56</v>
      </c>
      <c r="D49" s="30">
        <f>205917.38</f>
        <v>205917.38</v>
      </c>
    </row>
    <row r="50" spans="1:4">
      <c r="A50" s="8" t="s">
        <v>169</v>
      </c>
      <c r="B50" s="9" t="s">
        <v>170</v>
      </c>
      <c r="C50" s="14">
        <f>C8+C25+C40+C41+C42+C43+C44+C45+C49+C51+C52</f>
        <v>2192915.9999999912</v>
      </c>
      <c r="D50" s="15">
        <f>D8+D25+D40+D41+D42+D43+D44+D45+D49+D51+D52</f>
        <v>2192916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1331465.22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1245129.42</f>
        <v>1245129.42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86335.8</f>
        <v>86335.8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674784</f>
        <v>674784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2006249.22</v>
      </c>
      <c r="D59" s="27">
        <f>D54+D57+D58</f>
        <v>0</v>
      </c>
    </row>
    <row r="60" spans="1:4" ht="25.5">
      <c r="A60" s="33" t="s">
        <v>188</v>
      </c>
      <c r="B60" s="9"/>
      <c r="C60" s="34">
        <v>8140</v>
      </c>
      <c r="D60" s="35">
        <v>8140</v>
      </c>
    </row>
    <row r="61" spans="1:4" ht="15.75" thickBot="1">
      <c r="A61" s="36" t="s">
        <v>189</v>
      </c>
      <c r="B61" s="37"/>
      <c r="C61" s="38">
        <f>(C50+C51+C52)/C60/12</f>
        <v>22.449999999999907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347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1210009.6000000001</v>
      </c>
      <c r="D8" s="11">
        <f>D9+D11+D14+D15</f>
        <v>1268474.9700000002</v>
      </c>
    </row>
    <row r="9" spans="1:4" ht="30">
      <c r="A9" s="12" t="s">
        <v>90</v>
      </c>
      <c r="B9" s="13" t="s">
        <v>91</v>
      </c>
      <c r="C9" s="14">
        <f>1133607.02</f>
        <v>1133607.02</v>
      </c>
      <c r="D9" s="15">
        <f>972700.81</f>
        <v>972700.81</v>
      </c>
    </row>
    <row r="10" spans="1:4">
      <c r="A10" s="16" t="s">
        <v>92</v>
      </c>
      <c r="B10" s="17" t="s">
        <v>93</v>
      </c>
      <c r="C10" s="18">
        <f>697141.305683564</f>
        <v>697141.30568356405</v>
      </c>
      <c r="D10" s="19">
        <f>_86h_E12</f>
        <v>697141.30568356405</v>
      </c>
    </row>
    <row r="11" spans="1:4" ht="22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76402.58</v>
      </c>
      <c r="D15" s="15">
        <f>SUM(D16:D24)</f>
        <v>295774.16000000003</v>
      </c>
    </row>
    <row r="16" spans="1:4">
      <c r="A16" s="22" t="s">
        <v>103</v>
      </c>
      <c r="B16" s="17" t="s">
        <v>104</v>
      </c>
      <c r="C16" s="111">
        <v>46209.24</v>
      </c>
      <c r="D16" s="113">
        <v>268179.90000000002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16476.98</f>
        <v>16476.98</v>
      </c>
      <c r="D18" s="19">
        <f>13875.04</f>
        <v>13875.04</v>
      </c>
    </row>
    <row r="19" spans="1:4">
      <c r="A19" s="22" t="s">
        <v>109</v>
      </c>
      <c r="B19" s="17" t="s">
        <v>110</v>
      </c>
      <c r="C19" s="18">
        <f>8003.32</f>
        <v>8003.32</v>
      </c>
      <c r="D19" s="19">
        <f>8008.7</f>
        <v>8008.7</v>
      </c>
    </row>
    <row r="20" spans="1:4">
      <c r="A20" s="22" t="s">
        <v>111</v>
      </c>
      <c r="B20" s="17" t="s">
        <v>112</v>
      </c>
      <c r="C20" s="18">
        <f>5713.04</f>
        <v>5713.04</v>
      </c>
      <c r="D20" s="19">
        <f>5710.52</f>
        <v>5710.52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833034.92</v>
      </c>
      <c r="D25" s="15">
        <f>D26+D27+D30+D28+D29+D31</f>
        <v>798901.10999999987</v>
      </c>
    </row>
    <row r="26" spans="1:4" ht="20.25" customHeight="1">
      <c r="A26" s="24" t="s">
        <v>123</v>
      </c>
      <c r="B26" s="20" t="s">
        <v>124</v>
      </c>
      <c r="C26" s="18">
        <f>377222.4</f>
        <v>377222.40000000002</v>
      </c>
      <c r="D26" s="19">
        <f>341071.93</f>
        <v>341071.93</v>
      </c>
    </row>
    <row r="27" spans="1:4" ht="45">
      <c r="A27" s="24" t="s">
        <v>125</v>
      </c>
      <c r="B27" s="20" t="s">
        <v>126</v>
      </c>
      <c r="C27" s="18">
        <f>19974.36</f>
        <v>19974.36</v>
      </c>
      <c r="D27" s="19">
        <f>19982.44</f>
        <v>19982.439999999999</v>
      </c>
    </row>
    <row r="28" spans="1:4" ht="33.75" customHeight="1">
      <c r="A28" s="21" t="s">
        <v>127</v>
      </c>
      <c r="B28" s="20" t="s">
        <v>128</v>
      </c>
      <c r="C28" s="18">
        <f>190080</f>
        <v>190080</v>
      </c>
      <c r="D28" s="19">
        <f>190079.88</f>
        <v>190079.88</v>
      </c>
    </row>
    <row r="29" spans="1:4">
      <c r="A29" s="21" t="s">
        <v>129</v>
      </c>
      <c r="B29" s="20" t="s">
        <v>130</v>
      </c>
      <c r="C29" s="18">
        <f>24067.8</f>
        <v>24067.8</v>
      </c>
      <c r="D29" s="19">
        <f>23857.32</f>
        <v>23857.32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221690.36000000002</v>
      </c>
      <c r="D31" s="15">
        <f>SUM(D32:D39)</f>
        <v>223909.53999999998</v>
      </c>
    </row>
    <row r="32" spans="1:4" ht="19.5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27107.76</f>
        <v>27107.759999999998</v>
      </c>
      <c r="D33" s="19">
        <f>21298.33</f>
        <v>21298.33</v>
      </c>
    </row>
    <row r="34" spans="1:4">
      <c r="A34" s="24" t="s">
        <v>139</v>
      </c>
      <c r="B34" s="17" t="s">
        <v>140</v>
      </c>
      <c r="C34" s="18">
        <f>51273.72</f>
        <v>51273.72</v>
      </c>
      <c r="D34" s="19">
        <f>50098.54</f>
        <v>50098.54</v>
      </c>
    </row>
    <row r="35" spans="1:4">
      <c r="A35" s="24" t="s">
        <v>141</v>
      </c>
      <c r="B35" s="17" t="s">
        <v>142</v>
      </c>
      <c r="C35" s="18">
        <f>51480</f>
        <v>51480</v>
      </c>
      <c r="D35" s="19">
        <f>51480</f>
        <v>51480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84000</f>
        <v>84000</v>
      </c>
      <c r="D37" s="19">
        <f>84000</f>
        <v>84000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171.03</v>
      </c>
      <c r="D39" s="19">
        <f>9374.87</f>
        <v>9374.8700000000008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14387.4</v>
      </c>
      <c r="D45" s="27">
        <f>SUM(D46:D48)</f>
        <v>11231.07</v>
      </c>
    </row>
    <row r="46" spans="1:4">
      <c r="A46" s="21" t="s">
        <v>163</v>
      </c>
      <c r="B46" s="17" t="s">
        <v>164</v>
      </c>
      <c r="C46" s="18">
        <f>13947.24</f>
        <v>13947.24</v>
      </c>
      <c r="D46" s="19">
        <f>10790.91</f>
        <v>10790.91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162693.48</f>
        <v>162693.48000000001</v>
      </c>
      <c r="D49" s="30">
        <f>141518.25</f>
        <v>141518.25</v>
      </c>
    </row>
    <row r="50" spans="1:4">
      <c r="A50" s="8" t="s">
        <v>169</v>
      </c>
      <c r="B50" s="9" t="s">
        <v>170</v>
      </c>
      <c r="C50" s="14">
        <f>C8+C25+C40+C41+C42+C43+C44+C45+C49+C51+C52</f>
        <v>2220125.4</v>
      </c>
      <c r="D50" s="15">
        <f>D8+D25+D40+D41+D42+D43+D44+D45+D49+D51+D52</f>
        <v>2220125.4000000004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905913.12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831057.36</f>
        <v>831057.36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74855.76</f>
        <v>74855.759999999995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368214</f>
        <v>368214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1274127.1200000001</v>
      </c>
      <c r="D59" s="27">
        <f>D54+D57+D58</f>
        <v>0</v>
      </c>
    </row>
    <row r="60" spans="1:4" ht="25.5">
      <c r="A60" s="33" t="s">
        <v>188</v>
      </c>
      <c r="B60" s="9"/>
      <c r="C60" s="34">
        <v>8241</v>
      </c>
      <c r="D60" s="35">
        <v>8241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D261"/>
  <sheetViews>
    <sheetView topLeftCell="A34" workbookViewId="0">
      <selection activeCell="A39" sqref="A39"/>
    </sheetView>
  </sheetViews>
  <sheetFormatPr defaultColWidth="11.7109375" defaultRowHeight="15"/>
  <cols>
    <col min="1" max="1" width="57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349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1330560.5299999998</v>
      </c>
      <c r="D8" s="11">
        <f>D9+D11+D14+D15</f>
        <v>1295612.18</v>
      </c>
    </row>
    <row r="9" spans="1:4" ht="30">
      <c r="A9" s="12" t="s">
        <v>90</v>
      </c>
      <c r="B9" s="13" t="s">
        <v>91</v>
      </c>
      <c r="C9" s="14">
        <f>1135945.89</f>
        <v>1135945.8899999999</v>
      </c>
      <c r="D9" s="15">
        <f>1117719.66</f>
        <v>1117719.6599999999</v>
      </c>
    </row>
    <row r="10" spans="1:4">
      <c r="A10" s="16" t="s">
        <v>92</v>
      </c>
      <c r="B10" s="17" t="s">
        <v>93</v>
      </c>
      <c r="C10" s="18">
        <f>700895.921658986</f>
        <v>700895.92165898602</v>
      </c>
      <c r="D10" s="19">
        <f>_87h_E12</f>
        <v>700895.92165898602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194614.64</v>
      </c>
      <c r="D15" s="15">
        <f>SUM(D16:D24)</f>
        <v>177892.52</v>
      </c>
    </row>
    <row r="16" spans="1:4">
      <c r="A16" s="22" t="s">
        <v>103</v>
      </c>
      <c r="B16" s="17" t="s">
        <v>104</v>
      </c>
      <c r="C16" s="111">
        <v>138153.60000000001</v>
      </c>
      <c r="D16" s="113">
        <v>113083.51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32915.04</f>
        <v>32915.040000000001</v>
      </c>
      <c r="D18" s="19">
        <f>41261.49</f>
        <v>41261.49</v>
      </c>
    </row>
    <row r="19" spans="1:4">
      <c r="A19" s="22" t="s">
        <v>109</v>
      </c>
      <c r="B19" s="17" t="s">
        <v>110</v>
      </c>
      <c r="C19" s="18">
        <f>4189.32</f>
        <v>4189.32</v>
      </c>
      <c r="D19" s="19">
        <f>4192.12</f>
        <v>4192.12</v>
      </c>
    </row>
    <row r="20" spans="1:4">
      <c r="A20" s="22" t="s">
        <v>111</v>
      </c>
      <c r="B20" s="17" t="s">
        <v>112</v>
      </c>
      <c r="C20" s="18">
        <f>2902.56</f>
        <v>2902.56</v>
      </c>
      <c r="D20" s="19">
        <f>2901.28</f>
        <v>2901.28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0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689396.29</v>
      </c>
      <c r="D25" s="15">
        <f>D26+D27+D30+D28+D29+D31</f>
        <v>601972.47999999998</v>
      </c>
    </row>
    <row r="26" spans="1:4" ht="22.5" customHeight="1">
      <c r="A26" s="24" t="s">
        <v>123</v>
      </c>
      <c r="B26" s="20" t="s">
        <v>124</v>
      </c>
      <c r="C26" s="18">
        <f>226741.2</f>
        <v>226741.2</v>
      </c>
      <c r="D26" s="19">
        <f>226741.2</f>
        <v>226741.2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1.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23796.12</f>
        <v>23796.12</v>
      </c>
      <c r="D29" s="19">
        <f>23588.05</f>
        <v>23588.05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284179.93</v>
      </c>
      <c r="D31" s="15">
        <f>SUM(D32:D39)</f>
        <v>196880.06</v>
      </c>
    </row>
    <row r="32" spans="1:4" ht="21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4">
      <c r="A33" s="24" t="s">
        <v>137</v>
      </c>
      <c r="B33" s="17" t="s">
        <v>138</v>
      </c>
      <c r="C33" s="18">
        <f>43078.84</f>
        <v>43078.84</v>
      </c>
      <c r="D33" s="19">
        <f>35329.47</f>
        <v>35329.47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478</v>
      </c>
      <c r="B39" s="17" t="s">
        <v>150</v>
      </c>
      <c r="C39" s="18">
        <f>117075.34</f>
        <v>117075.34</v>
      </c>
      <c r="D39" s="19">
        <v>38136.49</v>
      </c>
    </row>
    <row r="40" spans="1:4" ht="17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v>75622.45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14230.08</v>
      </c>
      <c r="D45" s="27">
        <f>SUM(D46:D48)</f>
        <v>15717.52</v>
      </c>
    </row>
    <row r="46" spans="1:4">
      <c r="A46" s="21" t="s">
        <v>163</v>
      </c>
      <c r="B46" s="17" t="s">
        <v>164</v>
      </c>
      <c r="C46" s="18">
        <f>13789.92</f>
        <v>13789.92</v>
      </c>
      <c r="D46" s="19">
        <f>15277.36</f>
        <v>15277.36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160857.36</f>
        <v>160857.35999999999</v>
      </c>
      <c r="D49" s="30">
        <f>206119.63</f>
        <v>206119.63</v>
      </c>
    </row>
    <row r="50" spans="1:4">
      <c r="A50" s="8" t="s">
        <v>169</v>
      </c>
      <c r="B50" s="9" t="s">
        <v>170</v>
      </c>
      <c r="C50" s="14">
        <f>C8+C25+C40+C41+C42+C43+C44+C45+C49+C51+C52</f>
        <v>2195044.2599999998</v>
      </c>
      <c r="D50" s="15">
        <f>D8+D25+D40+D41+D42+D43+D44+D45+D49+D51+D52</f>
        <v>2195044.2599999998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1294470.6599999999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1230035.46</f>
        <v>1230035.46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64435.2</f>
        <v>64435.199999999997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663636</f>
        <v>663636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1958106.66</v>
      </c>
      <c r="D59" s="27">
        <f>D54+D57+D58</f>
        <v>0</v>
      </c>
    </row>
    <row r="60" spans="1:4" ht="25.5">
      <c r="A60" s="33" t="s">
        <v>188</v>
      </c>
      <c r="B60" s="9"/>
      <c r="C60" s="34">
        <v>8147.9</v>
      </c>
      <c r="D60" s="35">
        <v>8147.9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H261"/>
  <sheetViews>
    <sheetView workbookViewId="0">
      <selection activeCell="H17" sqref="H17"/>
    </sheetView>
  </sheetViews>
  <sheetFormatPr defaultColWidth="11.7109375" defaultRowHeight="15"/>
  <cols>
    <col min="1" max="1" width="58.85546875" customWidth="1"/>
    <col min="2" max="2" width="9" customWidth="1"/>
    <col min="3" max="3" width="19.85546875" customWidth="1"/>
    <col min="4" max="4" width="17.5703125" customWidth="1"/>
    <col min="5" max="7" width="9.140625" customWidth="1"/>
    <col min="8" max="8" width="12.42578125" customWidth="1"/>
    <col min="9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351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1312431.4100000001</v>
      </c>
      <c r="D8" s="11">
        <f>D9+D11+D14+D15</f>
        <v>1234821.7</v>
      </c>
    </row>
    <row r="9" spans="1:4" ht="30">
      <c r="A9" s="12" t="s">
        <v>90</v>
      </c>
      <c r="B9" s="13" t="s">
        <v>91</v>
      </c>
      <c r="C9" s="14">
        <f>1118624.37</f>
        <v>1118624.3700000001</v>
      </c>
      <c r="D9" s="15">
        <v>1075621.17</v>
      </c>
    </row>
    <row r="10" spans="1:4">
      <c r="A10" s="16" t="s">
        <v>92</v>
      </c>
      <c r="B10" s="17" t="s">
        <v>93</v>
      </c>
      <c r="C10" s="18">
        <f>687739.608294931</f>
        <v>687739.60829493101</v>
      </c>
      <c r="D10" s="19">
        <f>_88h_E12</f>
        <v>687739.60829493101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6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6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193807.03999999998</v>
      </c>
      <c r="D15" s="15">
        <f>SUM(D16:D24)</f>
        <v>159200.53</v>
      </c>
    </row>
    <row r="16" spans="1:4">
      <c r="A16" s="22" t="s">
        <v>103</v>
      </c>
      <c r="B16" s="17" t="s">
        <v>104</v>
      </c>
      <c r="C16" s="111">
        <v>140606.51999999999</v>
      </c>
      <c r="D16" s="113">
        <v>98478.85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29654.52</f>
        <v>29654.52</v>
      </c>
      <c r="D18" s="19">
        <f>37174.17</f>
        <v>37174.17</v>
      </c>
    </row>
    <row r="19" spans="1:4">
      <c r="A19" s="22" t="s">
        <v>109</v>
      </c>
      <c r="B19" s="17" t="s">
        <v>110</v>
      </c>
      <c r="C19" s="18">
        <f>4189.32</f>
        <v>4189.32</v>
      </c>
      <c r="D19" s="19">
        <f>4192.12</f>
        <v>4192.12</v>
      </c>
    </row>
    <row r="20" spans="1:4">
      <c r="A20" s="22" t="s">
        <v>111</v>
      </c>
      <c r="B20" s="17" t="s">
        <v>112</v>
      </c>
      <c r="C20" s="18">
        <f>2902.56</f>
        <v>2902.56</v>
      </c>
      <c r="D20" s="19">
        <f>2901.27</f>
        <v>2901.27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705816.66999999993</v>
      </c>
      <c r="D25" s="15">
        <f>D26+D27+D30+D28+D29+D31</f>
        <v>570046.18999999994</v>
      </c>
    </row>
    <row r="26" spans="1:4" ht="21.75" customHeight="1">
      <c r="A26" s="24" t="s">
        <v>123</v>
      </c>
      <c r="B26" s="20" t="s">
        <v>124</v>
      </c>
      <c r="C26" s="18">
        <f>226741.2</f>
        <v>226741.2</v>
      </c>
      <c r="D26" s="19">
        <f>226741.2</f>
        <v>226741.2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2.2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23775.72</f>
        <v>23775.72</v>
      </c>
      <c r="D29" s="19">
        <f>23567.77</f>
        <v>23567.77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300620.71000000002</v>
      </c>
      <c r="D31" s="15">
        <f>SUM(D32:D39)</f>
        <v>164974.04999999999</v>
      </c>
    </row>
    <row r="32" spans="1:4" ht="18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8">
      <c r="A33" s="24" t="s">
        <v>137</v>
      </c>
      <c r="B33" s="17" t="s">
        <v>138</v>
      </c>
      <c r="C33" s="18">
        <f>25143.48</f>
        <v>25143.48</v>
      </c>
      <c r="D33" s="19">
        <f>20163.11</f>
        <v>20163.11</v>
      </c>
    </row>
    <row r="34" spans="1:8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8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8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8" ht="20.25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8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8" ht="30">
      <c r="A39" s="24" t="s">
        <v>478</v>
      </c>
      <c r="B39" s="17" t="s">
        <v>150</v>
      </c>
      <c r="C39" s="18">
        <f>151451.48</f>
        <v>151451.48000000001</v>
      </c>
      <c r="D39" s="19">
        <v>21396.84</v>
      </c>
    </row>
    <row r="40" spans="1:8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8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8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8" ht="18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8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8">
      <c r="A45" s="8" t="s">
        <v>161</v>
      </c>
      <c r="B45" s="9" t="s">
        <v>162</v>
      </c>
      <c r="C45" s="26">
        <f>SUM(C46:C48)</f>
        <v>14218.2</v>
      </c>
      <c r="D45" s="27">
        <f>SUM(D46:D48)</f>
        <v>159477.01</v>
      </c>
    </row>
    <row r="46" spans="1:8">
      <c r="A46" s="21" t="s">
        <v>163</v>
      </c>
      <c r="B46" s="17" t="s">
        <v>164</v>
      </c>
      <c r="C46" s="18">
        <f>13778.04</f>
        <v>13778.04</v>
      </c>
      <c r="D46" s="19">
        <f>15264.19</f>
        <v>15264.19</v>
      </c>
    </row>
    <row r="47" spans="1:8">
      <c r="A47" s="88" t="s">
        <v>501</v>
      </c>
      <c r="B47" s="17" t="s">
        <v>165</v>
      </c>
      <c r="C47" s="18">
        <f>0</f>
        <v>0</v>
      </c>
      <c r="D47" s="19">
        <v>143772.66</v>
      </c>
      <c r="H47" s="87"/>
    </row>
    <row r="48" spans="1:8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160719.12</f>
        <v>160719.12</v>
      </c>
      <c r="D49" s="30">
        <f>205942.47</f>
        <v>205942.47</v>
      </c>
    </row>
    <row r="50" spans="1:4">
      <c r="A50" s="8" t="s">
        <v>169</v>
      </c>
      <c r="B50" s="9" t="s">
        <v>170</v>
      </c>
      <c r="C50" s="14">
        <f>C8+C25+C40+C41+C42+C43+C44+C45+C49+C51+C52</f>
        <v>2193185.4</v>
      </c>
      <c r="D50" s="15">
        <f>D8+D25+D40+D41+D42+D43+D44+D45+D49+D51+D52</f>
        <v>2170287.37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1231894.02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1186238.94</f>
        <v>1186238.94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45655.08</f>
        <v>45655.08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634464</f>
        <v>634464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1866358.02</v>
      </c>
      <c r="D59" s="27">
        <f>D54+D57+D58</f>
        <v>0</v>
      </c>
    </row>
    <row r="60" spans="1:4" ht="25.5">
      <c r="A60" s="33" t="s">
        <v>188</v>
      </c>
      <c r="B60" s="9"/>
      <c r="C60" s="34">
        <v>8141</v>
      </c>
      <c r="D60" s="35">
        <v>8141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22.215609978299145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40" sqref="D40"/>
    </sheetView>
  </sheetViews>
  <sheetFormatPr defaultColWidth="11.7109375" defaultRowHeight="15"/>
  <cols>
    <col min="1" max="1" width="59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353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1341805.1100000001</v>
      </c>
      <c r="D8" s="11">
        <f>D9+D11+D14+D15</f>
        <v>1311173.2100000002</v>
      </c>
    </row>
    <row r="9" spans="1:4" ht="30">
      <c r="A9" s="12" t="s">
        <v>90</v>
      </c>
      <c r="B9" s="13" t="s">
        <v>91</v>
      </c>
      <c r="C9" s="14">
        <f>1144875.61</f>
        <v>1144875.6100000001</v>
      </c>
      <c r="D9" s="15">
        <v>1099581.3600000001</v>
      </c>
    </row>
    <row r="10" spans="1:4">
      <c r="A10" s="16" t="s">
        <v>92</v>
      </c>
      <c r="B10" s="17" t="s">
        <v>93</v>
      </c>
      <c r="C10" s="18">
        <f>706659.546850998</f>
        <v>706659.54685099795</v>
      </c>
      <c r="D10" s="19">
        <f>_89h_E12</f>
        <v>706659.54685099795</v>
      </c>
    </row>
    <row r="11" spans="1:4" ht="21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8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196929.5</v>
      </c>
      <c r="D15" s="15">
        <f>SUM(D16:D24)</f>
        <v>211591.85</v>
      </c>
    </row>
    <row r="16" spans="1:4">
      <c r="A16" s="22" t="s">
        <v>103</v>
      </c>
      <c r="B16" s="17" t="s">
        <v>104</v>
      </c>
      <c r="C16" s="111">
        <v>140473.92000000001</v>
      </c>
      <c r="D16" s="113">
        <v>146807.98000000001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32837.4</f>
        <v>32837.4</v>
      </c>
      <c r="D18" s="19">
        <f>41164.17</f>
        <v>41164.17</v>
      </c>
    </row>
    <row r="19" spans="1:4">
      <c r="A19" s="22" t="s">
        <v>109</v>
      </c>
      <c r="B19" s="17" t="s">
        <v>110</v>
      </c>
      <c r="C19" s="18">
        <f>4230.8</f>
        <v>4230.8</v>
      </c>
      <c r="D19" s="19">
        <f>4233.62</f>
        <v>4233.62</v>
      </c>
    </row>
    <row r="20" spans="1:4">
      <c r="A20" s="22" t="s">
        <v>111</v>
      </c>
      <c r="B20" s="17" t="s">
        <v>112</v>
      </c>
      <c r="C20" s="18">
        <f>2933.26</f>
        <v>2933.26</v>
      </c>
      <c r="D20" s="19">
        <f>2931.96</f>
        <v>2931.96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691073.25</v>
      </c>
      <c r="D25" s="15">
        <f>D26+D27+D30+D28+D29+D31</f>
        <v>549483.27</v>
      </c>
    </row>
    <row r="26" spans="1:4" ht="17.25" customHeight="1">
      <c r="A26" s="24" t="s">
        <v>123</v>
      </c>
      <c r="B26" s="20" t="s">
        <v>124</v>
      </c>
      <c r="C26" s="18">
        <f>226741.2</f>
        <v>226741.2</v>
      </c>
      <c r="D26" s="19">
        <f>226741.2</f>
        <v>226741.2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0.7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23948.04</f>
        <v>23948.04</v>
      </c>
      <c r="D29" s="19">
        <f>23738.61</f>
        <v>23738.61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285704.96999999997</v>
      </c>
      <c r="D31" s="15">
        <f>SUM(D32:D39)</f>
        <v>144240.29</v>
      </c>
    </row>
    <row r="32" spans="1:4" ht="16.5" customHeight="1">
      <c r="A32" s="24" t="s">
        <v>135</v>
      </c>
      <c r="B32" s="17" t="s">
        <v>136</v>
      </c>
      <c r="C32" s="18">
        <f>15315.71</f>
        <v>15315.71</v>
      </c>
      <c r="D32" s="19">
        <f>15315.67</f>
        <v>15315.67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20826.19</f>
        <v>20826.189999999999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136535.74</f>
        <v>136535.74</v>
      </c>
      <c r="D39" s="19"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14318.039999999999</v>
      </c>
      <c r="D45" s="27">
        <f>SUM(D46:D48)</f>
        <v>140988.91</v>
      </c>
    </row>
    <row r="46" spans="1:4">
      <c r="A46" s="21" t="s">
        <v>163</v>
      </c>
      <c r="B46" s="17" t="s">
        <v>164</v>
      </c>
      <c r="C46" s="18">
        <f>13877.88</f>
        <v>13877.88</v>
      </c>
      <c r="D46" s="19">
        <f>15374.8</f>
        <v>15374.8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125173.95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161883.6</f>
        <v>161883.6</v>
      </c>
      <c r="D49" s="30">
        <f>207434.61</f>
        <v>207434.61</v>
      </c>
    </row>
    <row r="50" spans="1:4">
      <c r="A50" s="8" t="s">
        <v>169</v>
      </c>
      <c r="B50" s="9" t="s">
        <v>170</v>
      </c>
      <c r="C50" s="14">
        <f>C8+C25+C40+C41+C42+C43+C44+C45+C49+C51+C52</f>
        <v>2209080</v>
      </c>
      <c r="D50" s="15">
        <f>D8+D25+D40+D41+D42+D43+D44+D45+D49+D51+D52</f>
        <v>2209080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1343614.3199999998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1288217.88</f>
        <v>1288217.8799999999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55396.44</f>
        <v>55396.44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703470</f>
        <v>703470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2047084.3199999998</v>
      </c>
      <c r="D59" s="27">
        <f>D54+D57+D58</f>
        <v>0</v>
      </c>
    </row>
    <row r="60" spans="1:4" ht="25.5">
      <c r="A60" s="33" t="s">
        <v>188</v>
      </c>
      <c r="B60" s="9"/>
      <c r="C60" s="34">
        <v>8200</v>
      </c>
      <c r="D60" s="35">
        <v>8200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D39" sqref="D39"/>
    </sheetView>
  </sheetViews>
  <sheetFormatPr defaultColWidth="11.7109375" defaultRowHeight="15"/>
  <cols>
    <col min="1" max="1" width="59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4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204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7398213.4500000002</v>
      </c>
      <c r="D8" s="11">
        <f>D9+D11+D14+D15</f>
        <v>7118961.1600000001</v>
      </c>
    </row>
    <row r="9" spans="1:4" ht="30">
      <c r="A9" s="12" t="s">
        <v>90</v>
      </c>
      <c r="B9" s="13" t="s">
        <v>91</v>
      </c>
      <c r="C9" s="14">
        <f>6268686.62</f>
        <v>6268686.6200000001</v>
      </c>
      <c r="D9" s="15">
        <v>6074934.1299999999</v>
      </c>
    </row>
    <row r="10" spans="1:4">
      <c r="A10" s="16" t="s">
        <v>92</v>
      </c>
      <c r="B10" s="17" t="s">
        <v>93</v>
      </c>
      <c r="C10" s="18">
        <f>3942566.28264209</f>
        <v>3942566.2826420902</v>
      </c>
      <c r="D10" s="19">
        <f>_9h_E12</f>
        <v>3942566.2826420902</v>
      </c>
    </row>
    <row r="11" spans="1:4" ht="18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1129526.83</v>
      </c>
      <c r="D15" s="15">
        <f>SUM(D16:D24)</f>
        <v>1044027.0299999998</v>
      </c>
    </row>
    <row r="16" spans="1:4">
      <c r="A16" s="22" t="s">
        <v>103</v>
      </c>
      <c r="B16" s="17" t="s">
        <v>104</v>
      </c>
      <c r="C16" s="111">
        <v>835154.64</v>
      </c>
      <c r="D16" s="113">
        <v>710334.44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155026.92</f>
        <v>155026.92000000001</v>
      </c>
      <c r="D18" s="19">
        <f>194338.21</f>
        <v>194338.21</v>
      </c>
    </row>
    <row r="19" spans="1:4">
      <c r="A19" s="22" t="s">
        <v>109</v>
      </c>
      <c r="B19" s="17" t="s">
        <v>110</v>
      </c>
      <c r="C19" s="18">
        <f>24608.68</f>
        <v>24608.68</v>
      </c>
      <c r="D19" s="19">
        <f>24625.2</f>
        <v>24625.200000000001</v>
      </c>
    </row>
    <row r="20" spans="1:4">
      <c r="A20" s="22" t="s">
        <v>111</v>
      </c>
      <c r="B20" s="17" t="s">
        <v>112</v>
      </c>
      <c r="C20" s="18">
        <f>17040.24</f>
        <v>17040.240000000002</v>
      </c>
      <c r="D20" s="19">
        <f>17032.83</f>
        <v>17032.830000000002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97696.35</f>
        <v>97696.35</v>
      </c>
      <c r="D22" s="19">
        <f>97696.35</f>
        <v>97696.35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7.2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4068516.34</v>
      </c>
      <c r="D25" s="15">
        <f>D26+D27+D30+D28+D29+D31</f>
        <v>3126183.6699999995</v>
      </c>
    </row>
    <row r="26" spans="1:4" ht="23.25" customHeight="1">
      <c r="A26" s="24" t="s">
        <v>123</v>
      </c>
      <c r="B26" s="20" t="s">
        <v>124</v>
      </c>
      <c r="C26" s="18">
        <f>1586543.04</f>
        <v>1586543.04</v>
      </c>
      <c r="D26" s="19">
        <f>1577214.28</f>
        <v>1577214.28</v>
      </c>
    </row>
    <row r="27" spans="1:4" ht="45">
      <c r="A27" s="24" t="s">
        <v>125</v>
      </c>
      <c r="B27" s="20" t="s">
        <v>126</v>
      </c>
      <c r="C27" s="18">
        <f>107689.8</f>
        <v>107689.8</v>
      </c>
      <c r="D27" s="19">
        <f>107743.27</f>
        <v>107743.27</v>
      </c>
    </row>
    <row r="28" spans="1:4" ht="32.25" customHeight="1">
      <c r="A28" s="21" t="s">
        <v>127</v>
      </c>
      <c r="B28" s="20" t="s">
        <v>128</v>
      </c>
      <c r="C28" s="18">
        <f>816912</f>
        <v>816912</v>
      </c>
      <c r="D28" s="19">
        <f>816912</f>
        <v>816912</v>
      </c>
    </row>
    <row r="29" spans="1:4">
      <c r="A29" s="21" t="s">
        <v>129</v>
      </c>
      <c r="B29" s="20" t="s">
        <v>130</v>
      </c>
      <c r="C29" s="18">
        <f>138834.84</f>
        <v>138834.84</v>
      </c>
      <c r="D29" s="19">
        <f>137621.05</f>
        <v>137621.04999999999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1418536.6600000001</v>
      </c>
      <c r="D31" s="15">
        <f>SUM(D32:D39)</f>
        <v>486693.07</v>
      </c>
    </row>
    <row r="32" spans="1:4" ht="21.75" customHeight="1">
      <c r="A32" s="24" t="s">
        <v>135</v>
      </c>
      <c r="B32" s="17" t="s">
        <v>136</v>
      </c>
      <c r="C32" s="18">
        <f>91894.23</f>
        <v>91894.23</v>
      </c>
      <c r="D32" s="19">
        <f>91894.28</f>
        <v>91894.28</v>
      </c>
    </row>
    <row r="33" spans="1:4">
      <c r="A33" s="24" t="s">
        <v>137</v>
      </c>
      <c r="B33" s="17" t="s">
        <v>138</v>
      </c>
      <c r="C33" s="18">
        <f>146146.56</f>
        <v>146146.56</v>
      </c>
      <c r="D33" s="19">
        <f>137850.38</f>
        <v>137850.38</v>
      </c>
    </row>
    <row r="34" spans="1:4">
      <c r="A34" s="24" t="s">
        <v>139</v>
      </c>
      <c r="B34" s="17" t="s">
        <v>140</v>
      </c>
      <c r="C34" s="18">
        <f>261496.08</f>
        <v>261496.08</v>
      </c>
      <c r="D34" s="19">
        <f>256948.41</f>
        <v>256948.41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.7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v>918999.79</v>
      </c>
      <c r="D39" s="19">
        <v>0</v>
      </c>
    </row>
    <row r="40" spans="1:4" ht="20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v>299997.21999999997</v>
      </c>
      <c r="D43" s="27">
        <v>299997.21999999997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101514.4</v>
      </c>
      <c r="D45" s="27">
        <f>SUM(D46:D48)</f>
        <v>1059021.31</v>
      </c>
    </row>
    <row r="46" spans="1:4">
      <c r="A46" s="21" t="s">
        <v>163</v>
      </c>
      <c r="B46" s="17" t="s">
        <v>164</v>
      </c>
      <c r="C46" s="18">
        <f>80454.84</f>
        <v>80454.84</v>
      </c>
      <c r="D46" s="19">
        <f>89133.26</f>
        <v>89133.26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948828.49</v>
      </c>
    </row>
    <row r="48" spans="1:4">
      <c r="A48" s="21" t="s">
        <v>166</v>
      </c>
      <c r="B48" s="17" t="s">
        <v>167</v>
      </c>
      <c r="C48" s="18">
        <v>21059.56</v>
      </c>
      <c r="D48" s="19">
        <v>21059.56</v>
      </c>
    </row>
    <row r="49" spans="1:4">
      <c r="A49" s="8" t="s">
        <v>440</v>
      </c>
      <c r="B49" s="28" t="s">
        <v>168</v>
      </c>
      <c r="C49" s="29">
        <f>938495.76</f>
        <v>938495.76</v>
      </c>
      <c r="D49" s="30">
        <f>1202573.81</f>
        <v>1202573.81</v>
      </c>
    </row>
    <row r="50" spans="1:4">
      <c r="A50" s="8" t="s">
        <v>169</v>
      </c>
      <c r="B50" s="9" t="s">
        <v>170</v>
      </c>
      <c r="C50" s="14">
        <f>C8+C25+C40+C41+C42+C43+C44+C45+C49+C51+C52</f>
        <v>12806737.17</v>
      </c>
      <c r="D50" s="15">
        <f>D8+D25+D40+D41+D42+D43+D44+D45+D49+D51+D52</f>
        <v>12806737.170000002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7716816.54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7168226.58</f>
        <v>7168226.5800000001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548589.96</f>
        <v>548589.96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3854544</f>
        <v>3854544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11571360.539999999</v>
      </c>
      <c r="D59" s="27">
        <f>D54+D57+D58</f>
        <v>0</v>
      </c>
    </row>
    <row r="60" spans="1:4" ht="25.5">
      <c r="A60" s="33" t="s">
        <v>188</v>
      </c>
      <c r="B60" s="9"/>
      <c r="C60" s="34">
        <v>47538</v>
      </c>
      <c r="D60" s="35">
        <v>47538</v>
      </c>
    </row>
    <row r="61" spans="1:4" ht="15.75" thickBot="1">
      <c r="A61" s="36" t="s">
        <v>189</v>
      </c>
      <c r="B61" s="37"/>
      <c r="C61" s="38">
        <f>(C50+C51+C52)/C60/12</f>
        <v>22.449999947410493</v>
      </c>
      <c r="D61" s="39">
        <f>(D50+D51+D52)/D60/12</f>
        <v>22.449999947410493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28" sqref="F28"/>
    </sheetView>
  </sheetViews>
  <sheetFormatPr defaultColWidth="11.7109375" defaultRowHeight="15"/>
  <cols>
    <col min="1" max="1" width="59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.7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355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1302630.3400000001</v>
      </c>
      <c r="D8" s="11">
        <f>D9+D11+D14+D15</f>
        <v>1266832.26</v>
      </c>
    </row>
    <row r="9" spans="1:4" ht="30">
      <c r="A9" s="12" t="s">
        <v>90</v>
      </c>
      <c r="B9" s="13" t="s">
        <v>91</v>
      </c>
      <c r="C9" s="14">
        <f>1110829.1</f>
        <v>1110829.1000000001</v>
      </c>
      <c r="D9" s="15">
        <f>1096730.96</f>
        <v>1096730.96</v>
      </c>
    </row>
    <row r="10" spans="1:4">
      <c r="A10" s="16" t="s">
        <v>92</v>
      </c>
      <c r="B10" s="17" t="s">
        <v>93</v>
      </c>
      <c r="C10" s="18">
        <f>680404.90015361</f>
        <v>680404.90015361004</v>
      </c>
      <c r="D10" s="19">
        <f>_90h_E12</f>
        <v>680404.90015361004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191801.24000000002</v>
      </c>
      <c r="D15" s="15">
        <f>SUM(D16:D24)</f>
        <v>170101.30000000002</v>
      </c>
    </row>
    <row r="16" spans="1:4">
      <c r="A16" s="22" t="s">
        <v>103</v>
      </c>
      <c r="B16" s="17" t="s">
        <v>104</v>
      </c>
      <c r="C16" s="111">
        <v>140142.48000000001</v>
      </c>
      <c r="D16" s="113">
        <v>111334.72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28024.32</f>
        <v>28024.32</v>
      </c>
      <c r="D18" s="19">
        <f>35130.6</f>
        <v>35130.6</v>
      </c>
    </row>
    <row r="19" spans="1:4">
      <c r="A19" s="22" t="s">
        <v>109</v>
      </c>
      <c r="B19" s="17" t="s">
        <v>110</v>
      </c>
      <c r="C19" s="18">
        <f>4240.2</f>
        <v>4240.2</v>
      </c>
      <c r="D19" s="19">
        <f>4243.04</f>
        <v>4243.04</v>
      </c>
    </row>
    <row r="20" spans="1:4">
      <c r="A20" s="22" t="s">
        <v>111</v>
      </c>
      <c r="B20" s="17" t="s">
        <v>112</v>
      </c>
      <c r="C20" s="18">
        <f>2940.12</f>
        <v>2940.12</v>
      </c>
      <c r="D20" s="19">
        <f>2938.82</f>
        <v>2938.82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6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731487.62</v>
      </c>
      <c r="D25" s="15">
        <f>D26+D27+D30+D28+D29+D31</f>
        <v>720209.04</v>
      </c>
    </row>
    <row r="26" spans="1:4" ht="20.25" customHeight="1">
      <c r="A26" s="24" t="s">
        <v>123</v>
      </c>
      <c r="B26" s="20" t="s">
        <v>124</v>
      </c>
      <c r="C26" s="18">
        <f>226741.2</f>
        <v>226741.2</v>
      </c>
      <c r="D26" s="19">
        <f>226741.2</f>
        <v>226741.2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3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23962.68</f>
        <v>23962.68</v>
      </c>
      <c r="D29" s="19">
        <f>23753.14</f>
        <v>23753.14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326104.7</v>
      </c>
      <c r="D31" s="15">
        <f>SUM(D32:D39)</f>
        <v>314951.53000000003</v>
      </c>
    </row>
    <row r="32" spans="1:4" ht="18.7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18784.62</f>
        <v>18784.62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477</v>
      </c>
      <c r="B39" s="17" t="s">
        <v>150</v>
      </c>
      <c r="C39" s="18">
        <f>176935.47</f>
        <v>176935.47</v>
      </c>
      <c r="D39" s="19">
        <f>172752.82</f>
        <v>172752.82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14326.44</v>
      </c>
      <c r="D45" s="27">
        <f>SUM(D46:D48)</f>
        <v>15824.26</v>
      </c>
    </row>
    <row r="46" spans="1:4">
      <c r="A46" s="21" t="s">
        <v>163</v>
      </c>
      <c r="B46" s="17" t="s">
        <v>164</v>
      </c>
      <c r="C46" s="18">
        <f>13886.28</f>
        <v>13886.28</v>
      </c>
      <c r="D46" s="19">
        <f>15384.1</f>
        <v>15384.1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161982.6</f>
        <v>161982.6</v>
      </c>
      <c r="D49" s="30">
        <f>207561.44</f>
        <v>207561.44</v>
      </c>
    </row>
    <row r="50" spans="1:4">
      <c r="A50" s="8" t="s">
        <v>169</v>
      </c>
      <c r="B50" s="9" t="s">
        <v>170</v>
      </c>
      <c r="C50" s="14">
        <f>C8+C25+C40+C41+C42+C43+C44+C45+C49+C51+C52</f>
        <v>2210427</v>
      </c>
      <c r="D50" s="15">
        <f>D8+D25+D40+D41+D42+D43+D44+D45+D49+D51+D52</f>
        <v>2210427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1215176.52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1138407.6</f>
        <v>1138407.6000000001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76768.92</f>
        <v>76768.92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600162</f>
        <v>600162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1815338.52</v>
      </c>
      <c r="D59" s="27">
        <f>D54+D57+D58</f>
        <v>0</v>
      </c>
    </row>
    <row r="60" spans="1:4" ht="25.5">
      <c r="A60" s="33" t="s">
        <v>188</v>
      </c>
      <c r="B60" s="9"/>
      <c r="C60" s="34">
        <v>8205</v>
      </c>
      <c r="D60" s="35">
        <v>8205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5" sqref="F15"/>
    </sheetView>
  </sheetViews>
  <sheetFormatPr defaultColWidth="11.7109375" defaultRowHeight="15"/>
  <cols>
    <col min="1" max="1" width="57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357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1191758.1399999999</v>
      </c>
      <c r="D8" s="11">
        <f>D9+D11+D14+D15</f>
        <v>1237406.2999999998</v>
      </c>
    </row>
    <row r="9" spans="1:4" ht="30">
      <c r="A9" s="12" t="s">
        <v>90</v>
      </c>
      <c r="B9" s="13" t="s">
        <v>91</v>
      </c>
      <c r="C9" s="14">
        <f>1110679.47</f>
        <v>1110679.47</v>
      </c>
      <c r="D9" s="15">
        <f>1010102.19</f>
        <v>1010102.19</v>
      </c>
    </row>
    <row r="10" spans="1:4">
      <c r="A10" s="16" t="s">
        <v>92</v>
      </c>
      <c r="B10" s="17" t="s">
        <v>93</v>
      </c>
      <c r="C10" s="18">
        <f>683279.838709677</f>
        <v>683279.83870967699</v>
      </c>
      <c r="D10" s="19">
        <f>_91h_E12</f>
        <v>683279.83870967699</v>
      </c>
    </row>
    <row r="11" spans="1:4" ht="19.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81078.67</v>
      </c>
      <c r="D15" s="15">
        <f>SUM(D16:D24)</f>
        <v>227304.11</v>
      </c>
    </row>
    <row r="16" spans="1:4">
      <c r="A16" s="22" t="s">
        <v>103</v>
      </c>
      <c r="B16" s="17" t="s">
        <v>104</v>
      </c>
      <c r="C16" s="111">
        <v>51922.92</v>
      </c>
      <c r="D16" s="113">
        <v>200602.65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15559.93</f>
        <v>15559.93</v>
      </c>
      <c r="D18" s="19">
        <f>13102.8</f>
        <v>13102.8</v>
      </c>
    </row>
    <row r="19" spans="1:4">
      <c r="A19" s="22" t="s">
        <v>109</v>
      </c>
      <c r="B19" s="17" t="s">
        <v>110</v>
      </c>
      <c r="C19" s="18">
        <f>7934.04</f>
        <v>7934.04</v>
      </c>
      <c r="D19" s="19">
        <f>7939.38</f>
        <v>7939.38</v>
      </c>
    </row>
    <row r="20" spans="1:4">
      <c r="A20" s="22" t="s">
        <v>111</v>
      </c>
      <c r="B20" s="17" t="s">
        <v>112</v>
      </c>
      <c r="C20" s="18">
        <f>5661.78</f>
        <v>5661.78</v>
      </c>
      <c r="D20" s="19">
        <f>5659.28</f>
        <v>5659.28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807148.69999999623</v>
      </c>
      <c r="D25" s="15">
        <f>D26+D27+D30+D28+D29+D31</f>
        <v>785206.48</v>
      </c>
    </row>
    <row r="26" spans="1:4" ht="21.75" customHeight="1">
      <c r="A26" s="24" t="s">
        <v>123</v>
      </c>
      <c r="B26" s="20" t="s">
        <v>124</v>
      </c>
      <c r="C26" s="18">
        <f>377222.4</f>
        <v>377222.40000000002</v>
      </c>
      <c r="D26" s="19">
        <f>357807.35</f>
        <v>357807.35</v>
      </c>
    </row>
    <row r="27" spans="1:4" ht="45">
      <c r="A27" s="24" t="s">
        <v>125</v>
      </c>
      <c r="B27" s="20" t="s">
        <v>126</v>
      </c>
      <c r="C27" s="18">
        <f>19395.48</f>
        <v>19395.48</v>
      </c>
      <c r="D27" s="19">
        <f>19327.1</f>
        <v>19327.099999999999</v>
      </c>
    </row>
    <row r="28" spans="1:4" ht="29.25" customHeight="1">
      <c r="A28" s="21" t="s">
        <v>127</v>
      </c>
      <c r="B28" s="20" t="s">
        <v>128</v>
      </c>
      <c r="C28" s="18">
        <f>190080</f>
        <v>190080</v>
      </c>
      <c r="D28" s="19">
        <f>190079.88</f>
        <v>190079.88</v>
      </c>
    </row>
    <row r="29" spans="1:4">
      <c r="A29" s="21" t="s">
        <v>129</v>
      </c>
      <c r="B29" s="20" t="s">
        <v>130</v>
      </c>
      <c r="C29" s="18">
        <f>23547.96</f>
        <v>23547.96</v>
      </c>
      <c r="D29" s="19">
        <f>23342.01</f>
        <v>23342.01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196902.85999999632</v>
      </c>
      <c r="D31" s="15">
        <f>SUM(D32:D39)</f>
        <v>194650.14</v>
      </c>
    </row>
    <row r="32" spans="1:4" ht="18" customHeight="1">
      <c r="A32" s="24" t="s">
        <v>135</v>
      </c>
      <c r="B32" s="17" t="s">
        <v>136</v>
      </c>
      <c r="C32" s="18">
        <f>7657.85</f>
        <v>7657.85</v>
      </c>
      <c r="D32" s="19">
        <f>7657.8</f>
        <v>7657.8</v>
      </c>
    </row>
    <row r="33" spans="1:4">
      <c r="A33" s="24" t="s">
        <v>137</v>
      </c>
      <c r="B33" s="17" t="s">
        <v>138</v>
      </c>
      <c r="C33" s="18">
        <f>26322</f>
        <v>26322</v>
      </c>
      <c r="D33" s="19">
        <f>25413.8</f>
        <v>25413.8</v>
      </c>
    </row>
    <row r="34" spans="1:4">
      <c r="A34" s="24" t="s">
        <v>139</v>
      </c>
      <c r="B34" s="17" t="s">
        <v>140</v>
      </c>
      <c r="C34" s="18">
        <f>51273.72</f>
        <v>51273.72</v>
      </c>
      <c r="D34" s="19">
        <f>50098.54</f>
        <v>50098.54</v>
      </c>
    </row>
    <row r="35" spans="1:4">
      <c r="A35" s="24" t="s">
        <v>141</v>
      </c>
      <c r="B35" s="17" t="s">
        <v>142</v>
      </c>
      <c r="C35" s="18">
        <f>51480</f>
        <v>51480</v>
      </c>
      <c r="D35" s="19">
        <f>51480</f>
        <v>51480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169.289999996312</f>
        <v>169.28999999631199</v>
      </c>
      <c r="D39" s="19">
        <f>0</f>
        <v>0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8.5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14086.2</v>
      </c>
      <c r="D45" s="27">
        <f>SUM(D46:D48)</f>
        <v>10998.03</v>
      </c>
    </row>
    <row r="46" spans="1:4">
      <c r="A46" s="21" t="s">
        <v>163</v>
      </c>
      <c r="B46" s="17" t="s">
        <v>164</v>
      </c>
      <c r="C46" s="18">
        <f>13646.04</f>
        <v>13646.04</v>
      </c>
      <c r="D46" s="19">
        <f>10557.87</f>
        <v>10557.87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159179.16</f>
        <v>159179.16</v>
      </c>
      <c r="D49" s="30">
        <f>138561.39</f>
        <v>138561.39000000001</v>
      </c>
    </row>
    <row r="50" spans="1:4">
      <c r="A50" s="8" t="s">
        <v>169</v>
      </c>
      <c r="B50" s="9" t="s">
        <v>170</v>
      </c>
      <c r="C50" s="14">
        <f>C8+C25+C40+C41+C42+C43+C44+C45+C49+C51+C52</f>
        <v>2172172.199999996</v>
      </c>
      <c r="D50" s="15">
        <f>D8+D25+D40+D41+D42+D43+D44+D45+D49+D51+D52</f>
        <v>2172172.1999999997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951032.88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798583.92</f>
        <v>798583.92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152448.96</f>
        <v>152448.95999999999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350214</f>
        <v>350214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1301246.8799999999</v>
      </c>
      <c r="D59" s="27">
        <f>D54+D57+D58</f>
        <v>0</v>
      </c>
    </row>
    <row r="60" spans="1:4" ht="25.5">
      <c r="A60" s="33" t="s">
        <v>188</v>
      </c>
      <c r="B60" s="9"/>
      <c r="C60" s="34">
        <v>8063</v>
      </c>
      <c r="D60" s="35">
        <v>8063</v>
      </c>
    </row>
    <row r="61" spans="1:4" ht="15.75" thickBot="1">
      <c r="A61" s="36" t="s">
        <v>189</v>
      </c>
      <c r="B61" s="37"/>
      <c r="C61" s="38">
        <f>(C50+C51+C52)/C60/12</f>
        <v>22.44999999999996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E39" sqref="E39"/>
    </sheetView>
  </sheetViews>
  <sheetFormatPr defaultColWidth="11.7109375" defaultRowHeight="15"/>
  <cols>
    <col min="1" max="1" width="62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359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1338601.75</v>
      </c>
      <c r="D8" s="11">
        <f>D9+D11+D14+D15</f>
        <v>1267368.3799999999</v>
      </c>
    </row>
    <row r="9" spans="1:4" ht="30">
      <c r="A9" s="12" t="s">
        <v>90</v>
      </c>
      <c r="B9" s="13" t="s">
        <v>91</v>
      </c>
      <c r="C9" s="14">
        <f>1142615.89</f>
        <v>1142615.8899999999</v>
      </c>
      <c r="D9" s="15">
        <v>1100729.19</v>
      </c>
    </row>
    <row r="10" spans="1:4">
      <c r="A10" s="16" t="s">
        <v>92</v>
      </c>
      <c r="B10" s="17" t="s">
        <v>93</v>
      </c>
      <c r="C10" s="18">
        <f>706966.367127496</f>
        <v>706966.36712749605</v>
      </c>
      <c r="D10" s="19">
        <f>_92h_E12</f>
        <v>706966.36712749605</v>
      </c>
    </row>
    <row r="11" spans="1:4" ht="20.2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195985.86</v>
      </c>
      <c r="D15" s="15">
        <f>SUM(D16:D24)</f>
        <v>166639.18999999997</v>
      </c>
    </row>
    <row r="16" spans="1:4">
      <c r="A16" s="22" t="s">
        <v>103</v>
      </c>
      <c r="B16" s="17" t="s">
        <v>104</v>
      </c>
      <c r="C16" s="111">
        <v>138087.35999999999</v>
      </c>
      <c r="D16" s="113">
        <v>100038.39999999999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34312.32</f>
        <v>34312.32</v>
      </c>
      <c r="D18" s="19">
        <f>43013.09</f>
        <v>43013.09</v>
      </c>
    </row>
    <row r="19" spans="1:4">
      <c r="A19" s="22" t="s">
        <v>109</v>
      </c>
      <c r="B19" s="17" t="s">
        <v>110</v>
      </c>
      <c r="C19" s="18">
        <f>4212.4</f>
        <v>4212.3999999999996</v>
      </c>
      <c r="D19" s="19">
        <f>4215.22</f>
        <v>4215.22</v>
      </c>
    </row>
    <row r="20" spans="1:4">
      <c r="A20" s="22" t="s">
        <v>111</v>
      </c>
      <c r="B20" s="17" t="s">
        <v>112</v>
      </c>
      <c r="C20" s="18">
        <f>2919.66</f>
        <v>2919.66</v>
      </c>
      <c r="D20" s="19">
        <f>2918.36</f>
        <v>2918.36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670169.80999999994</v>
      </c>
      <c r="D25" s="15">
        <f>D26+D27+D30+D28+D29+D31</f>
        <v>545071.91</v>
      </c>
    </row>
    <row r="26" spans="1:4" ht="20.25" customHeight="1">
      <c r="A26" s="24" t="s">
        <v>123</v>
      </c>
      <c r="B26" s="20" t="s">
        <v>124</v>
      </c>
      <c r="C26" s="18">
        <f>226741.2</f>
        <v>226741.2</v>
      </c>
      <c r="D26" s="19">
        <f>222017.41</f>
        <v>222017.41</v>
      </c>
    </row>
    <row r="27" spans="1:4" ht="33.75" customHeight="1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6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23664.72</f>
        <v>23664.720000000001</v>
      </c>
      <c r="D29" s="19">
        <f>23457.81</f>
        <v>23457.81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265084.84999999998</v>
      </c>
      <c r="D31" s="15">
        <f>SUM(D32:D39)</f>
        <v>144902.34</v>
      </c>
    </row>
    <row r="32" spans="1:4" ht="22.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21488.25</f>
        <v>21488.25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18.75" customHeight="1">
      <c r="A39" s="24" t="s">
        <v>149</v>
      </c>
      <c r="B39" s="17" t="s">
        <v>150</v>
      </c>
      <c r="C39" s="18">
        <f>115915.62</f>
        <v>115915.62</v>
      </c>
      <c r="D39" s="19">
        <v>0</v>
      </c>
    </row>
    <row r="40" spans="1:4" ht="18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8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8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14153.88</v>
      </c>
      <c r="D45" s="27">
        <f>SUM(D46:D48)</f>
        <v>165472.94</v>
      </c>
    </row>
    <row r="46" spans="1:4">
      <c r="A46" s="21" t="s">
        <v>163</v>
      </c>
      <c r="B46" s="17" t="s">
        <v>164</v>
      </c>
      <c r="C46" s="18">
        <f>13713.72</f>
        <v>13713.72</v>
      </c>
      <c r="D46" s="19">
        <f>15192.94</f>
        <v>15192.94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149839.84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159968.88</f>
        <v>159968.88</v>
      </c>
      <c r="D49" s="30">
        <f>204981.09</f>
        <v>204981.09</v>
      </c>
    </row>
    <row r="50" spans="1:4">
      <c r="A50" s="8" t="s">
        <v>169</v>
      </c>
      <c r="B50" s="9" t="s">
        <v>170</v>
      </c>
      <c r="C50" s="14">
        <f>C8+C25+C40+C41+C42+C43+C44+C45+C49+C51+C52</f>
        <v>2182894.3199999998</v>
      </c>
      <c r="D50" s="15">
        <f>D8+D25+D40+D41+D42+D43+D44+D45+D49+D51+D52</f>
        <v>2182894.3199999998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1324603.68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1289660.64</f>
        <v>1289660.6399999999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34943.04</f>
        <v>34943.040000000001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705996</f>
        <v>705996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2030599.68</v>
      </c>
      <c r="D59" s="27">
        <f>D54+D57+D58</f>
        <v>0</v>
      </c>
    </row>
    <row r="60" spans="1:4" ht="25.5">
      <c r="A60" s="33" t="s">
        <v>188</v>
      </c>
      <c r="B60" s="9"/>
      <c r="C60" s="34">
        <v>8102.8</v>
      </c>
      <c r="D60" s="35">
        <v>8102.8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46" sqref="F46"/>
    </sheetView>
  </sheetViews>
  <sheetFormatPr defaultColWidth="11.7109375" defaultRowHeight="15"/>
  <cols>
    <col min="1" max="1" width="59.140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361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1329829.03</v>
      </c>
      <c r="D8" s="11">
        <f>D9+D11+D14+D15</f>
        <v>1269845.3099999998</v>
      </c>
    </row>
    <row r="9" spans="1:4" ht="30">
      <c r="A9" s="12" t="s">
        <v>90</v>
      </c>
      <c r="B9" s="13" t="s">
        <v>91</v>
      </c>
      <c r="C9" s="14">
        <f>1134768.49</f>
        <v>1134768.49</v>
      </c>
      <c r="D9" s="15">
        <v>1108288.18</v>
      </c>
    </row>
    <row r="10" spans="1:4">
      <c r="A10" s="16" t="s">
        <v>92</v>
      </c>
      <c r="B10" s="17" t="s">
        <v>93</v>
      </c>
      <c r="C10" s="18">
        <f>699233.556067588</f>
        <v>699233.55606758804</v>
      </c>
      <c r="D10" s="19">
        <f>_93h_E12</f>
        <v>699233.55606758804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195060.53999999998</v>
      </c>
      <c r="D15" s="15">
        <f>SUM(D16:D24)</f>
        <v>161557.12999999998</v>
      </c>
    </row>
    <row r="16" spans="1:4">
      <c r="A16" s="22" t="s">
        <v>103</v>
      </c>
      <c r="B16" s="17" t="s">
        <v>104</v>
      </c>
      <c r="C16" s="111">
        <v>139413.24</v>
      </c>
      <c r="D16" s="113">
        <v>97778.41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32061.12</f>
        <v>32061.119999999999</v>
      </c>
      <c r="D18" s="19">
        <f>40191.02</f>
        <v>40191.019999999997</v>
      </c>
    </row>
    <row r="19" spans="1:4">
      <c r="A19" s="22" t="s">
        <v>109</v>
      </c>
      <c r="B19" s="17" t="s">
        <v>110</v>
      </c>
      <c r="C19" s="18">
        <f>4212.4</f>
        <v>4212.3999999999996</v>
      </c>
      <c r="D19" s="19">
        <f>4215.22</f>
        <v>4215.22</v>
      </c>
    </row>
    <row r="20" spans="1:4">
      <c r="A20" s="22" t="s">
        <v>111</v>
      </c>
      <c r="B20" s="17" t="s">
        <v>112</v>
      </c>
      <c r="C20" s="18">
        <f>2919.66</f>
        <v>2919.66</v>
      </c>
      <c r="D20" s="19">
        <f>2918.36</f>
        <v>2918.36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699108.35000000102</v>
      </c>
      <c r="D25" s="15">
        <f>D26+D27+D30+D28+D29+D31</f>
        <v>554939.16999999993</v>
      </c>
    </row>
    <row r="26" spans="1:4" ht="17.25" customHeight="1">
      <c r="A26" s="24" t="s">
        <v>123</v>
      </c>
      <c r="B26" s="20" t="s">
        <v>124</v>
      </c>
      <c r="C26" s="18">
        <f>226741.2</f>
        <v>226741.2</v>
      </c>
      <c r="D26" s="19">
        <f>226741.19</f>
        <v>226741.19</v>
      </c>
    </row>
    <row r="27" spans="1:4" ht="45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4.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23901.36</f>
        <v>23901.360000000001</v>
      </c>
      <c r="D29" s="19">
        <f>23692.35</f>
        <v>23692.35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293786.75000000105</v>
      </c>
      <c r="D31" s="15">
        <f>SUM(D32:D39)</f>
        <v>149742.46</v>
      </c>
    </row>
    <row r="32" spans="1:4" ht="19.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26328.37</f>
        <v>26328.37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9.5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144617.520000001</f>
        <v>144617.52000000101</v>
      </c>
      <c r="D39" s="19">
        <v>0</v>
      </c>
    </row>
    <row r="40" spans="1:4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14290.92</v>
      </c>
      <c r="D45" s="27">
        <f>SUM(D46:D48)</f>
        <v>172981.55</v>
      </c>
    </row>
    <row r="46" spans="1:4">
      <c r="A46" s="21" t="s">
        <v>163</v>
      </c>
      <c r="B46" s="17" t="s">
        <v>164</v>
      </c>
      <c r="C46" s="18">
        <f>13850.76</f>
        <v>13850.76</v>
      </c>
      <c r="D46" s="19">
        <f>15344.74</f>
        <v>15344.74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157196.65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161568.24</f>
        <v>161568.24</v>
      </c>
      <c r="D49" s="30">
        <f>207030.51</f>
        <v>207030.51</v>
      </c>
    </row>
    <row r="50" spans="1:4">
      <c r="A50" s="8" t="s">
        <v>169</v>
      </c>
      <c r="B50" s="9" t="s">
        <v>170</v>
      </c>
      <c r="C50" s="14">
        <f>C8+C25+C40+C41+C42+C43+C44+C45+C49+C51+C52</f>
        <v>2204796.540000001</v>
      </c>
      <c r="D50" s="15">
        <f>D8+D25+D40+D41+D42+D43+D44+D45+D49+D51+D52</f>
        <v>2204796.54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1366329.18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1278772.02</f>
        <v>1278772.02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87557.16</f>
        <v>87557.16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697470</f>
        <v>697470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2063799.18</v>
      </c>
      <c r="D59" s="27">
        <f>D54+D57+D58</f>
        <v>0</v>
      </c>
    </row>
    <row r="60" spans="1:4" ht="25.5">
      <c r="A60" s="33" t="s">
        <v>188</v>
      </c>
      <c r="B60" s="9"/>
      <c r="C60" s="34">
        <v>8184.1</v>
      </c>
      <c r="D60" s="35">
        <v>8184.1</v>
      </c>
    </row>
    <row r="61" spans="1:4" ht="15.75" thickBot="1">
      <c r="A61" s="36" t="s">
        <v>189</v>
      </c>
      <c r="B61" s="37"/>
      <c r="C61" s="38">
        <f>(C50+C51+C52)/C60/12</f>
        <v>22.450000000000006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F36" sqref="F36"/>
    </sheetView>
  </sheetViews>
  <sheetFormatPr defaultColWidth="11.7109375" defaultRowHeight="15"/>
  <cols>
    <col min="1" max="1" width="60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363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1326988.23</v>
      </c>
      <c r="D8" s="11">
        <f>D9+D11+D14+D15</f>
        <v>1292995.49</v>
      </c>
    </row>
    <row r="9" spans="1:4" ht="30">
      <c r="A9" s="12" t="s">
        <v>90</v>
      </c>
      <c r="B9" s="13" t="s">
        <v>91</v>
      </c>
      <c r="C9" s="14">
        <f>1131977.95</f>
        <v>1131977.95</v>
      </c>
      <c r="D9" s="15">
        <v>1114068.1499999999</v>
      </c>
    </row>
    <row r="10" spans="1:4">
      <c r="A10" s="16" t="s">
        <v>92</v>
      </c>
      <c r="B10" s="17" t="s">
        <v>93</v>
      </c>
      <c r="C10" s="18">
        <f>697911.574500768</f>
        <v>697911.57450076798</v>
      </c>
      <c r="D10" s="19">
        <f>_94h_E12</f>
        <v>697911.57450076798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195010.28</v>
      </c>
      <c r="D15" s="15">
        <f>SUM(D16:D24)</f>
        <v>178927.34000000003</v>
      </c>
    </row>
    <row r="16" spans="1:4">
      <c r="A16" s="22" t="s">
        <v>103</v>
      </c>
      <c r="B16" s="17" t="s">
        <v>104</v>
      </c>
      <c r="C16" s="111">
        <v>139346.88</v>
      </c>
      <c r="D16" s="113">
        <v>115132.52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32061.12</f>
        <v>32061.119999999999</v>
      </c>
      <c r="D18" s="19">
        <f>40191.02</f>
        <v>40191.019999999997</v>
      </c>
    </row>
    <row r="19" spans="1:4">
      <c r="A19" s="22" t="s">
        <v>109</v>
      </c>
      <c r="B19" s="17" t="s">
        <v>110</v>
      </c>
      <c r="C19" s="18">
        <f>4221.66</f>
        <v>4221.66</v>
      </c>
      <c r="D19" s="19">
        <f>4224.48</f>
        <v>4224.4799999999996</v>
      </c>
    </row>
    <row r="20" spans="1:4">
      <c r="A20" s="22" t="s">
        <v>111</v>
      </c>
      <c r="B20" s="17" t="s">
        <v>112</v>
      </c>
      <c r="C20" s="18">
        <f>2926.5</f>
        <v>2926.5</v>
      </c>
      <c r="D20" s="19">
        <f>2925.2</f>
        <v>2925.2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692251.77</v>
      </c>
      <c r="D25" s="15">
        <f>D26+D27+D30+D28+D29+D31</f>
        <v>582246.22</v>
      </c>
    </row>
    <row r="26" spans="1:4" ht="20.25" customHeight="1">
      <c r="A26" s="24" t="s">
        <v>123</v>
      </c>
      <c r="B26" s="20" t="s">
        <v>124</v>
      </c>
      <c r="C26" s="18">
        <f>226741.2</f>
        <v>226741.2</v>
      </c>
      <c r="D26" s="19">
        <f>226741.19</f>
        <v>226741.19</v>
      </c>
    </row>
    <row r="27" spans="1:4" ht="33.75" customHeight="1">
      <c r="A27" s="24" t="s">
        <v>125</v>
      </c>
      <c r="B27" s="20" t="s">
        <v>126</v>
      </c>
      <c r="C27" s="18">
        <f>18527.04</f>
        <v>18527.04</v>
      </c>
      <c r="D27" s="19">
        <f>18611.17</f>
        <v>18611.169999999998</v>
      </c>
    </row>
    <row r="28" spans="1:4" ht="36.7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23787.36</f>
        <v>23787.360000000001</v>
      </c>
      <c r="D29" s="19">
        <f>23579.31</f>
        <v>23579.31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287044.17000000004</v>
      </c>
      <c r="D31" s="15">
        <f>SUM(D32:D39)</f>
        <v>177162.55</v>
      </c>
    </row>
    <row r="32" spans="1:4" ht="21.7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32146.06</f>
        <v>32146.06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.75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476</v>
      </c>
      <c r="B39" s="17" t="s">
        <v>150</v>
      </c>
      <c r="C39" s="18">
        <f>137874.94</f>
        <v>137874.94</v>
      </c>
      <c r="D39" s="19">
        <v>21602.400000000001</v>
      </c>
    </row>
    <row r="40" spans="1:4" ht="23.2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19.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14224.92</v>
      </c>
      <c r="D45" s="27">
        <f>SUM(D46:D48)</f>
        <v>112977.65</v>
      </c>
    </row>
    <row r="46" spans="1:4">
      <c r="A46" s="21" t="s">
        <v>163</v>
      </c>
      <c r="B46" s="17" t="s">
        <v>164</v>
      </c>
      <c r="C46" s="18">
        <f>13784.76</f>
        <v>13784.76</v>
      </c>
      <c r="D46" s="19">
        <f>15271.62</f>
        <v>15271.62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97265.87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160798.08</f>
        <v>160798.07999999999</v>
      </c>
      <c r="D49" s="30">
        <f>206043.64</f>
        <v>206043.64</v>
      </c>
    </row>
    <row r="50" spans="1:4">
      <c r="A50" s="8" t="s">
        <v>169</v>
      </c>
      <c r="B50" s="9" t="s">
        <v>170</v>
      </c>
      <c r="C50" s="14">
        <f>C8+C25+C40+C41+C42+C43+C44+C45+C49+C51+C52</f>
        <v>2194263</v>
      </c>
      <c r="D50" s="15">
        <f>D8+D25+D40+D41+D42+D43+D44+D45+D49+D51+D52</f>
        <v>2194263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1294975.6199999999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1217361.18</f>
        <v>1217361.18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77614.44</f>
        <v>77614.44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655614</f>
        <v>655614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1950589.6199999999</v>
      </c>
      <c r="D59" s="27">
        <f>D54+D57+D58</f>
        <v>0</v>
      </c>
    </row>
    <row r="60" spans="1:4" ht="25.5">
      <c r="A60" s="33" t="s">
        <v>188</v>
      </c>
      <c r="B60" s="9"/>
      <c r="C60" s="34">
        <v>8145</v>
      </c>
      <c r="D60" s="35">
        <v>8145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D261"/>
  <sheetViews>
    <sheetView topLeftCell="A31" workbookViewId="0">
      <selection activeCell="E65" sqref="E65"/>
    </sheetView>
  </sheetViews>
  <sheetFormatPr defaultColWidth="11.7109375" defaultRowHeight="15"/>
  <cols>
    <col min="1" max="1" width="62.285156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365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1417033.44</v>
      </c>
      <c r="D8" s="11">
        <f>D9+D11+D14+D15</f>
        <v>1257693.3799999999</v>
      </c>
    </row>
    <row r="9" spans="1:4" ht="30">
      <c r="A9" s="12" t="s">
        <v>90</v>
      </c>
      <c r="B9" s="13" t="s">
        <v>91</v>
      </c>
      <c r="C9" s="14">
        <f>1255433.65</f>
        <v>1255433.6499999999</v>
      </c>
      <c r="D9" s="15">
        <f>1139957.21</f>
        <v>1139957.21</v>
      </c>
    </row>
    <row r="10" spans="1:4">
      <c r="A10" s="16" t="s">
        <v>92</v>
      </c>
      <c r="B10" s="17" t="s">
        <v>93</v>
      </c>
      <c r="C10" s="18">
        <f>796921.758832565</f>
        <v>796921.75883256504</v>
      </c>
      <c r="D10" s="19">
        <f>_95h_E12</f>
        <v>796921.75883256504</v>
      </c>
    </row>
    <row r="11" spans="1:4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7.2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161599.79</v>
      </c>
      <c r="D15" s="15">
        <f>SUM(D16:D24)</f>
        <v>117736.17</v>
      </c>
    </row>
    <row r="16" spans="1:4">
      <c r="A16" s="22" t="s">
        <v>103</v>
      </c>
      <c r="B16" s="17" t="s">
        <v>104</v>
      </c>
      <c r="C16" s="111">
        <v>127097.52</v>
      </c>
      <c r="D16" s="113">
        <v>76291.94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27370.21</f>
        <v>27370.21</v>
      </c>
      <c r="D18" s="19">
        <f>34310.65</f>
        <v>34310.65</v>
      </c>
    </row>
    <row r="19" spans="1:4">
      <c r="A19" s="22" t="s">
        <v>109</v>
      </c>
      <c r="B19" s="17" t="s">
        <v>110</v>
      </c>
      <c r="C19" s="18">
        <f>4212.4</f>
        <v>4212.3999999999996</v>
      </c>
      <c r="D19" s="19">
        <f>4215.22</f>
        <v>4215.22</v>
      </c>
    </row>
    <row r="20" spans="1:4">
      <c r="A20" s="22" t="s">
        <v>111</v>
      </c>
      <c r="B20" s="17" t="s">
        <v>112</v>
      </c>
      <c r="C20" s="18">
        <f>2919.66</f>
        <v>2919.66</v>
      </c>
      <c r="D20" s="19">
        <f>2918.36</f>
        <v>2918.36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0</f>
        <v>0</v>
      </c>
      <c r="D22" s="19">
        <f>0</f>
        <v>0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552772.07000000007</v>
      </c>
      <c r="D25" s="15">
        <f>D26+D27+D30+D28+D29+D31</f>
        <v>650900.02</v>
      </c>
    </row>
    <row r="26" spans="1:4" ht="19.5" customHeight="1">
      <c r="A26" s="24" t="s">
        <v>123</v>
      </c>
      <c r="B26" s="20" t="s">
        <v>124</v>
      </c>
      <c r="C26" s="18">
        <f>226741.2</f>
        <v>226741.2</v>
      </c>
      <c r="D26" s="19">
        <f>222017.41</f>
        <v>222017.41</v>
      </c>
    </row>
    <row r="27" spans="1:4" ht="36" customHeight="1">
      <c r="A27" s="24" t="s">
        <v>125</v>
      </c>
      <c r="B27" s="20" t="s">
        <v>126</v>
      </c>
      <c r="C27" s="18">
        <f>18092.76</f>
        <v>18092.759999999998</v>
      </c>
      <c r="D27" s="19">
        <f>18154.09</f>
        <v>18154.09</v>
      </c>
    </row>
    <row r="28" spans="1:4" ht="34.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23206.2</f>
        <v>23206.2</v>
      </c>
      <c r="D29" s="19">
        <f>23003.3</f>
        <v>23003.3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148579.91</v>
      </c>
      <c r="D31" s="15">
        <f>SUM(D32:D39)</f>
        <v>251573.22000000003</v>
      </c>
    </row>
    <row r="32" spans="1:4" ht="21.7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24554.16</f>
        <v>24554.16</v>
      </c>
      <c r="D33" s="19">
        <f>23305.05</f>
        <v>23305.05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472</v>
      </c>
      <c r="B39" s="17" t="s">
        <v>150</v>
      </c>
      <c r="C39" s="84">
        <f>0</f>
        <v>0</v>
      </c>
      <c r="D39" s="19">
        <f>104854.08</f>
        <v>104854.08</v>
      </c>
    </row>
    <row r="40" spans="1:4" ht="19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19.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0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13977.37</v>
      </c>
      <c r="D45" s="27">
        <f>SUM(D46:D48)</f>
        <v>41044.83</v>
      </c>
    </row>
    <row r="46" spans="1:4">
      <c r="A46" s="21" t="s">
        <v>163</v>
      </c>
      <c r="B46" s="17" t="s">
        <v>164</v>
      </c>
      <c r="C46" s="18">
        <f>13448.04</f>
        <v>13448.04</v>
      </c>
      <c r="D46" s="19">
        <f>10404.68</f>
        <v>10404.68</v>
      </c>
    </row>
    <row r="47" spans="1:4">
      <c r="A47" s="21" t="s">
        <v>149</v>
      </c>
      <c r="B47" s="17" t="s">
        <v>165</v>
      </c>
      <c r="C47" s="18">
        <v>89.17</v>
      </c>
      <c r="D47" s="19">
        <f>30199.99</f>
        <v>30199.99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156869.52</f>
        <v>156869.51999999999</v>
      </c>
      <c r="D49" s="30">
        <f>191014.17</f>
        <v>191014.17</v>
      </c>
    </row>
    <row r="50" spans="1:4">
      <c r="A50" s="8" t="s">
        <v>169</v>
      </c>
      <c r="B50" s="9" t="s">
        <v>170</v>
      </c>
      <c r="C50" s="14">
        <f>C8+C25+C40+C41+C42+C43+C44+C45+C49+C51+C52</f>
        <v>2140652.4</v>
      </c>
      <c r="D50" s="15">
        <f>D8+D25+D40+D41+D42+D43+D44+D45+D49+D51+D52</f>
        <v>2140652.4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1284532.26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1240996.5</f>
        <v>1240996.5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43535.76</f>
        <v>43535.76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669486</f>
        <v>669486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1954018.26</v>
      </c>
      <c r="D59" s="27">
        <f>D54+D57+D58</f>
        <v>0</v>
      </c>
    </row>
    <row r="60" spans="1:4" ht="25.5">
      <c r="A60" s="33" t="s">
        <v>188</v>
      </c>
      <c r="B60" s="9"/>
      <c r="C60" s="34">
        <v>7946</v>
      </c>
      <c r="D60" s="35">
        <v>7946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G64" sqref="G64"/>
    </sheetView>
  </sheetViews>
  <sheetFormatPr defaultColWidth="11.7109375" defaultRowHeight="15"/>
  <cols>
    <col min="1" max="1" width="62.855468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3.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367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1338883.1300000001</v>
      </c>
      <c r="D8" s="11">
        <f>D9+D11+D14+D15</f>
        <v>1286497.3700000001</v>
      </c>
    </row>
    <row r="9" spans="1:4" ht="30">
      <c r="A9" s="12" t="s">
        <v>90</v>
      </c>
      <c r="B9" s="13" t="s">
        <v>91</v>
      </c>
      <c r="C9" s="14">
        <f>1142509.05</f>
        <v>1142509.05</v>
      </c>
      <c r="D9" s="15">
        <v>1124483.8600000001</v>
      </c>
    </row>
    <row r="10" spans="1:4">
      <c r="A10" s="16" t="s">
        <v>92</v>
      </c>
      <c r="B10" s="17" t="s">
        <v>93</v>
      </c>
      <c r="C10" s="18">
        <f>705831.589861751</f>
        <v>705831.58986175095</v>
      </c>
      <c r="D10" s="19">
        <f>_96h_E12</f>
        <v>705831.58986175095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19.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196374.08</v>
      </c>
      <c r="D15" s="15">
        <f>SUM(D16:D24)</f>
        <v>162013.50999999998</v>
      </c>
    </row>
    <row r="16" spans="1:4">
      <c r="A16" s="22" t="s">
        <v>103</v>
      </c>
      <c r="B16" s="17" t="s">
        <v>104</v>
      </c>
      <c r="C16" s="111">
        <v>139214.39999999999</v>
      </c>
      <c r="D16" s="113">
        <v>96328.7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33613.68</f>
        <v>33613.68</v>
      </c>
      <c r="D18" s="19">
        <f>42137.3</f>
        <v>42137.3</v>
      </c>
    </row>
    <row r="19" spans="1:4">
      <c r="A19" s="22" t="s">
        <v>109</v>
      </c>
      <c r="B19" s="17" t="s">
        <v>110</v>
      </c>
      <c r="C19" s="18">
        <f>4189.32</f>
        <v>4189.32</v>
      </c>
      <c r="D19" s="19">
        <f>4192.12</f>
        <v>4192.12</v>
      </c>
    </row>
    <row r="20" spans="1:4">
      <c r="A20" s="22" t="s">
        <v>111</v>
      </c>
      <c r="B20" s="17" t="s">
        <v>112</v>
      </c>
      <c r="C20" s="18">
        <f>2902.56</f>
        <v>2902.56</v>
      </c>
      <c r="D20" s="19">
        <f>2901.27</f>
        <v>2901.27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21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682232.71</v>
      </c>
      <c r="D25" s="15">
        <f>D26+D27+D30+D28+D29+D31</f>
        <v>581880.24</v>
      </c>
    </row>
    <row r="26" spans="1:4" ht="21.75" customHeight="1">
      <c r="A26" s="24" t="s">
        <v>123</v>
      </c>
      <c r="B26" s="20" t="s">
        <v>124</v>
      </c>
      <c r="C26" s="18">
        <f>226741.2</f>
        <v>226741.2</v>
      </c>
      <c r="D26" s="19">
        <f>224379.3</f>
        <v>224379.3</v>
      </c>
    </row>
    <row r="27" spans="1:4" ht="35.25" customHeight="1">
      <c r="A27" s="24" t="s">
        <v>125</v>
      </c>
      <c r="B27" s="20" t="s">
        <v>126</v>
      </c>
      <c r="C27" s="18">
        <f>18527.04</f>
        <v>18527.04</v>
      </c>
      <c r="D27" s="19">
        <f>18542.35</f>
        <v>18542.349999999999</v>
      </c>
    </row>
    <row r="28" spans="1:4" ht="36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23810.76</f>
        <v>23810.76</v>
      </c>
      <c r="D29" s="19">
        <f>23602.5</f>
        <v>23602.5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277001.71000000002</v>
      </c>
      <c r="D31" s="15">
        <f>SUM(D32:D39)</f>
        <v>179204.09000000003</v>
      </c>
    </row>
    <row r="32" spans="1:4" ht="19.5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25143.48</f>
        <v>25143.48</v>
      </c>
      <c r="D33" s="19">
        <f>34187.61</f>
        <v>34187.61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2.5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30">
      <c r="A39" s="24" t="s">
        <v>476</v>
      </c>
      <c r="B39" s="17" t="s">
        <v>150</v>
      </c>
      <c r="C39" s="18">
        <f>127832.48</f>
        <v>127832.48</v>
      </c>
      <c r="D39" s="19">
        <v>21602.39</v>
      </c>
    </row>
    <row r="40" spans="1:4" ht="22.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2.5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3.25" customHeight="1">
      <c r="A43" s="8" t="s">
        <v>157</v>
      </c>
      <c r="B43" s="9" t="s">
        <v>158</v>
      </c>
      <c r="C43" s="26">
        <f>0</f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14238.48</v>
      </c>
      <c r="D45" s="27">
        <f>SUM(D46:D48)</f>
        <v>121686.68000000001</v>
      </c>
    </row>
    <row r="46" spans="1:4">
      <c r="A46" s="21" t="s">
        <v>163</v>
      </c>
      <c r="B46" s="17" t="s">
        <v>164</v>
      </c>
      <c r="C46" s="18">
        <f>13798.32</f>
        <v>13798.32</v>
      </c>
      <c r="D46" s="19">
        <f>15286.64</f>
        <v>15286.64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v>105959.88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160956.12</f>
        <v>160956.12</v>
      </c>
      <c r="D49" s="30">
        <f>206246.15</f>
        <v>206246.15</v>
      </c>
    </row>
    <row r="50" spans="1:4">
      <c r="A50" s="8" t="s">
        <v>169</v>
      </c>
      <c r="B50" s="9" t="s">
        <v>170</v>
      </c>
      <c r="C50" s="14">
        <f>C8+C25+C40+C41+C42+C43+C44+C45+C49+C51+C52</f>
        <v>2196310.44</v>
      </c>
      <c r="D50" s="15">
        <f>D8+D25+D40+D41+D42+D43+D44+D45+D49+D51+D52</f>
        <v>2196310.44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1349816.1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1294040.58</f>
        <v>1294040.58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55775.52</f>
        <v>55775.519999999997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708702</f>
        <v>708702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2058518.1</v>
      </c>
      <c r="D59" s="27">
        <f>D54+D57+D58</f>
        <v>0</v>
      </c>
    </row>
    <row r="60" spans="1:4" ht="25.5">
      <c r="A60" s="33" t="s">
        <v>188</v>
      </c>
      <c r="B60" s="9"/>
      <c r="C60" s="34">
        <v>8152.6</v>
      </c>
      <c r="D60" s="35">
        <v>8152.6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G60" sqref="G60"/>
    </sheetView>
  </sheetViews>
  <sheetFormatPr defaultColWidth="11.7109375" defaultRowHeight="15"/>
  <cols>
    <col min="1" max="1" width="61.4257812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1.2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369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1333617.0699999998</v>
      </c>
      <c r="D8" s="11">
        <f>D9+D11+D14+D15</f>
        <v>1303648.0399999998</v>
      </c>
    </row>
    <row r="9" spans="1:4" ht="30">
      <c r="A9" s="12" t="s">
        <v>90</v>
      </c>
      <c r="B9" s="13" t="s">
        <v>91</v>
      </c>
      <c r="C9" s="14">
        <f>1138111.69</f>
        <v>1138111.69</v>
      </c>
      <c r="D9" s="15">
        <v>1132396.67</v>
      </c>
    </row>
    <row r="10" spans="1:4">
      <c r="A10" s="16" t="s">
        <v>92</v>
      </c>
      <c r="B10" s="17" t="s">
        <v>93</v>
      </c>
      <c r="C10" s="18">
        <f>702433.003072197</f>
        <v>702433.00307219697</v>
      </c>
      <c r="D10" s="19">
        <f>_97h_E12</f>
        <v>702433.00307219697</v>
      </c>
    </row>
    <row r="11" spans="1:4" ht="21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0.2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21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195505.37999999998</v>
      </c>
      <c r="D15" s="15">
        <f>SUM(D16:D24)</f>
        <v>171251.36999999997</v>
      </c>
    </row>
    <row r="16" spans="1:4">
      <c r="A16" s="22" t="s">
        <v>103</v>
      </c>
      <c r="B16" s="17" t="s">
        <v>104</v>
      </c>
      <c r="C16" s="111">
        <v>139081.79999999999</v>
      </c>
      <c r="D16" s="113">
        <v>106499.5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32837.4</f>
        <v>32837.4</v>
      </c>
      <c r="D18" s="19">
        <f>41164.17</f>
        <v>41164.17</v>
      </c>
    </row>
    <row r="19" spans="1:4">
      <c r="A19" s="22" t="s">
        <v>109</v>
      </c>
      <c r="B19" s="17" t="s">
        <v>110</v>
      </c>
      <c r="C19" s="18">
        <f>4212.4</f>
        <v>4212.3999999999996</v>
      </c>
      <c r="D19" s="19">
        <f>4215.22</f>
        <v>4215.22</v>
      </c>
    </row>
    <row r="20" spans="1:4">
      <c r="A20" s="22" t="s">
        <v>111</v>
      </c>
      <c r="B20" s="17" t="s">
        <v>112</v>
      </c>
      <c r="C20" s="18">
        <f>2919.66</f>
        <v>2919.66</v>
      </c>
      <c r="D20" s="19">
        <f>2918.36</f>
        <v>2918.36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16454.12</f>
        <v>16454.12</v>
      </c>
      <c r="D22" s="19">
        <f>16454.12</f>
        <v>16454.12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687854.9300000011</v>
      </c>
      <c r="D25" s="15">
        <f>D26+D27+D30+D28+D29+D31</f>
        <v>539791.67000000004</v>
      </c>
    </row>
    <row r="26" spans="1:4" ht="21" customHeight="1">
      <c r="A26" s="24" t="s">
        <v>123</v>
      </c>
      <c r="B26" s="20" t="s">
        <v>124</v>
      </c>
      <c r="C26" s="18">
        <f>226741.2</f>
        <v>226741.2</v>
      </c>
      <c r="D26" s="19">
        <f>219183.14</f>
        <v>219183.14</v>
      </c>
    </row>
    <row r="27" spans="1:4" ht="33.75" customHeight="1">
      <c r="A27" s="24" t="s">
        <v>125</v>
      </c>
      <c r="B27" s="20" t="s">
        <v>126</v>
      </c>
      <c r="C27" s="18">
        <f>18382.32</f>
        <v>18382.32</v>
      </c>
      <c r="D27" s="19">
        <f>18412.94</f>
        <v>18412.939999999999</v>
      </c>
    </row>
    <row r="28" spans="1:4" ht="34.5" customHeight="1">
      <c r="A28" s="21" t="s">
        <v>127</v>
      </c>
      <c r="B28" s="20" t="s">
        <v>128</v>
      </c>
      <c r="C28" s="18">
        <f>136152</f>
        <v>136152</v>
      </c>
      <c r="D28" s="19">
        <f>136152</f>
        <v>136152</v>
      </c>
    </row>
    <row r="29" spans="1:4">
      <c r="A29" s="21" t="s">
        <v>129</v>
      </c>
      <c r="B29" s="20" t="s">
        <v>130</v>
      </c>
      <c r="C29" s="18">
        <f>23813.64</f>
        <v>23813.64</v>
      </c>
      <c r="D29" s="19">
        <f>23605.37</f>
        <v>23605.37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282765.77000000101</v>
      </c>
      <c r="D31" s="15">
        <f>SUM(D32:D39)</f>
        <v>142438.22</v>
      </c>
    </row>
    <row r="32" spans="1:4" ht="21" customHeight="1">
      <c r="A32" s="24" t="s">
        <v>135</v>
      </c>
      <c r="B32" s="17" t="s">
        <v>136</v>
      </c>
      <c r="C32" s="18">
        <f>15315.71</f>
        <v>15315.71</v>
      </c>
      <c r="D32" s="19">
        <f>15315.66</f>
        <v>15315.66</v>
      </c>
    </row>
    <row r="33" spans="1:4">
      <c r="A33" s="24" t="s">
        <v>137</v>
      </c>
      <c r="B33" s="17" t="s">
        <v>138</v>
      </c>
      <c r="C33" s="18">
        <f>24947.04</f>
        <v>24947.040000000001</v>
      </c>
      <c r="D33" s="19">
        <f>19024.13</f>
        <v>19024.13</v>
      </c>
    </row>
    <row r="34" spans="1:4">
      <c r="A34" s="24" t="s">
        <v>139</v>
      </c>
      <c r="B34" s="17" t="s">
        <v>140</v>
      </c>
      <c r="C34" s="18">
        <f>48710.04</f>
        <v>48710.04</v>
      </c>
      <c r="D34" s="19">
        <f>48098.43</f>
        <v>48098.43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18" customHeight="1">
      <c r="A37" s="24" t="s">
        <v>145</v>
      </c>
      <c r="B37" s="17" t="s">
        <v>146</v>
      </c>
      <c r="C37" s="18">
        <f>60000</f>
        <v>60000</v>
      </c>
      <c r="D37" s="19">
        <f>60000</f>
        <v>60000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18">
        <f>133792.980000001</f>
        <v>133792.980000001</v>
      </c>
      <c r="D39" s="19">
        <v>0</v>
      </c>
    </row>
    <row r="40" spans="1:4" ht="21.75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4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2.5" customHeight="1">
      <c r="A43" s="8" t="s">
        <v>157</v>
      </c>
      <c r="B43" s="9" t="s">
        <v>158</v>
      </c>
      <c r="C43" s="26">
        <f>0</f>
        <v>0</v>
      </c>
      <c r="D43" s="27">
        <v>131248.32000000001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14240.16</v>
      </c>
      <c r="D45" s="27">
        <f>SUM(D46:D48)</f>
        <v>15728.68</v>
      </c>
    </row>
    <row r="46" spans="1:4">
      <c r="A46" s="21" t="s">
        <v>163</v>
      </c>
      <c r="B46" s="17" t="s">
        <v>164</v>
      </c>
      <c r="C46" s="18">
        <f>13800</f>
        <v>13800</v>
      </c>
      <c r="D46" s="19">
        <f>15288.52</f>
        <v>15288.52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440.16</f>
        <v>440.16</v>
      </c>
      <c r="D48" s="19">
        <f>440.16</f>
        <v>440.16</v>
      </c>
    </row>
    <row r="49" spans="1:4">
      <c r="A49" s="8" t="s">
        <v>440</v>
      </c>
      <c r="B49" s="28" t="s">
        <v>168</v>
      </c>
      <c r="C49" s="29">
        <f>160975.44</f>
        <v>160975.44</v>
      </c>
      <c r="D49" s="30">
        <f>206270.89</f>
        <v>206270.89</v>
      </c>
    </row>
    <row r="50" spans="1:4">
      <c r="A50" s="8" t="s">
        <v>169</v>
      </c>
      <c r="B50" s="9" t="s">
        <v>170</v>
      </c>
      <c r="C50" s="14">
        <f>C8+C25+C40+C41+C42+C43+C44+C45+C49+C51+C52</f>
        <v>2196687.600000001</v>
      </c>
      <c r="D50" s="15">
        <f>D8+D25+D40+D41+D42+D43+D44+D45+D49+D51+D52</f>
        <v>2196687.6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1338027.4800000002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1287735.36</f>
        <v>1287735.3600000001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50292.12</f>
        <v>50292.12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704388</f>
        <v>704388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2042415.4800000002</v>
      </c>
      <c r="D59" s="27">
        <f>D54+D57+D58</f>
        <v>0</v>
      </c>
    </row>
    <row r="60" spans="1:4" ht="25.5">
      <c r="A60" s="33" t="s">
        <v>188</v>
      </c>
      <c r="B60" s="9"/>
      <c r="C60" s="34">
        <v>8154</v>
      </c>
      <c r="D60" s="35">
        <v>8154</v>
      </c>
    </row>
    <row r="61" spans="1:4" ht="15.75" thickBot="1">
      <c r="A61" s="36" t="s">
        <v>189</v>
      </c>
      <c r="B61" s="37"/>
      <c r="C61" s="38">
        <f>(C50+C51+C52)/C60/12</f>
        <v>22.450000000000014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D261"/>
  <sheetViews>
    <sheetView topLeftCell="A37" workbookViewId="0">
      <selection activeCell="A39" sqref="A39"/>
    </sheetView>
  </sheetViews>
  <sheetFormatPr defaultColWidth="11.7109375" defaultRowHeight="15"/>
  <cols>
    <col min="1" max="1" width="62.7109375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5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457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10">
        <f>C9+C11+C14+C15</f>
        <v>2644516.3800000004</v>
      </c>
      <c r="D8" s="11">
        <f>D9+D11+D14+D15</f>
        <v>2479784.0199999996</v>
      </c>
    </row>
    <row r="9" spans="1:4" ht="30">
      <c r="A9" s="12" t="s">
        <v>90</v>
      </c>
      <c r="B9" s="13" t="s">
        <v>91</v>
      </c>
      <c r="C9" s="14">
        <f>2319947.45</f>
        <v>2319947.4500000002</v>
      </c>
      <c r="D9" s="15">
        <f>2214505.78</f>
        <v>2214505.7799999998</v>
      </c>
    </row>
    <row r="10" spans="1:4">
      <c r="A10" s="16" t="s">
        <v>92</v>
      </c>
      <c r="B10" s="17" t="s">
        <v>93</v>
      </c>
      <c r="C10" s="18">
        <f>1492392.75729647</f>
        <v>1492392.75729647</v>
      </c>
      <c r="D10" s="19">
        <f>_98h_E12</f>
        <v>1492392.75729647</v>
      </c>
    </row>
    <row r="11" spans="1:4" ht="18.75" customHeight="1">
      <c r="A11" s="12" t="s">
        <v>94</v>
      </c>
      <c r="B11" s="20" t="s">
        <v>95</v>
      </c>
      <c r="C11" s="14">
        <f>C12+C13</f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18">
        <f>0</f>
        <v>0</v>
      </c>
      <c r="D12" s="19">
        <f>0</f>
        <v>0</v>
      </c>
    </row>
    <row r="13" spans="1:4" ht="21.75" customHeight="1">
      <c r="A13" s="88" t="s">
        <v>462</v>
      </c>
      <c r="B13" s="17" t="s">
        <v>98</v>
      </c>
      <c r="C13" s="18">
        <f>0</f>
        <v>0</v>
      </c>
      <c r="D13" s="19">
        <f>0</f>
        <v>0</v>
      </c>
    </row>
    <row r="14" spans="1:4" ht="18.75" customHeight="1">
      <c r="A14" s="12" t="s">
        <v>99</v>
      </c>
      <c r="B14" s="20" t="s">
        <v>100</v>
      </c>
      <c r="C14" s="18">
        <f>0</f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14">
        <f>SUM(C16:C24)</f>
        <v>324568.93</v>
      </c>
      <c r="D15" s="15">
        <f>SUM(D16:D24)</f>
        <v>265278.24</v>
      </c>
    </row>
    <row r="16" spans="1:4">
      <c r="A16" s="22" t="s">
        <v>103</v>
      </c>
      <c r="B16" s="17" t="s">
        <v>104</v>
      </c>
      <c r="C16" s="111">
        <v>209988.84</v>
      </c>
      <c r="D16" s="113">
        <v>134595.13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18">
        <f>63501.24</f>
        <v>63501.24</v>
      </c>
      <c r="D18" s="19">
        <f>79603.74</f>
        <v>79603.740000000005</v>
      </c>
    </row>
    <row r="19" spans="1:4">
      <c r="A19" s="22" t="s">
        <v>109</v>
      </c>
      <c r="B19" s="17" t="s">
        <v>110</v>
      </c>
      <c r="C19" s="18">
        <f>6040.1</f>
        <v>6040.1</v>
      </c>
      <c r="D19" s="19">
        <f>6044.14</f>
        <v>6044.14</v>
      </c>
    </row>
    <row r="20" spans="1:4">
      <c r="A20" s="22" t="s">
        <v>111</v>
      </c>
      <c r="B20" s="17" t="s">
        <v>112</v>
      </c>
      <c r="C20" s="18">
        <f>8016.98</f>
        <v>8016.98</v>
      </c>
      <c r="D20" s="19">
        <f>8013.46</f>
        <v>8013.46</v>
      </c>
    </row>
    <row r="21" spans="1:4">
      <c r="A21" s="22" t="s">
        <v>113</v>
      </c>
      <c r="B21" s="17" t="s">
        <v>114</v>
      </c>
      <c r="C21" s="18">
        <f>0</f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18">
        <f>37021.77</f>
        <v>37021.769999999997</v>
      </c>
      <c r="D22" s="19">
        <f>37021.77</f>
        <v>37021.769999999997</v>
      </c>
    </row>
    <row r="23" spans="1:4">
      <c r="A23" s="22" t="s">
        <v>117</v>
      </c>
      <c r="B23" s="17" t="s">
        <v>118</v>
      </c>
      <c r="C23" s="18">
        <f>0</f>
        <v>0</v>
      </c>
      <c r="D23" s="19">
        <f>0</f>
        <v>0</v>
      </c>
    </row>
    <row r="24" spans="1:4" ht="18.75" customHeight="1">
      <c r="A24" s="23" t="s">
        <v>119</v>
      </c>
      <c r="B24" s="17" t="s">
        <v>120</v>
      </c>
      <c r="C24" s="18">
        <f>0</f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14">
        <f>C26+C27+C30+C28+C29+C31</f>
        <v>951142.20000000799</v>
      </c>
      <c r="D25" s="15">
        <f>D26+D27+D30+D28+D29+D31</f>
        <v>544476.88000000012</v>
      </c>
    </row>
    <row r="26" spans="1:4" ht="21" customHeight="1">
      <c r="A26" s="24" t="s">
        <v>123</v>
      </c>
      <c r="B26" s="20" t="s">
        <v>124</v>
      </c>
      <c r="C26" s="18">
        <f>276863.4</f>
        <v>276863.40000000002</v>
      </c>
      <c r="D26" s="19">
        <f>276863.4</f>
        <v>276863.40000000002</v>
      </c>
    </row>
    <row r="27" spans="1:4" ht="33" customHeight="1">
      <c r="A27" s="24" t="s">
        <v>125</v>
      </c>
      <c r="B27" s="20" t="s">
        <v>126</v>
      </c>
      <c r="C27" s="18">
        <f>41831.04</f>
        <v>41831.040000000001</v>
      </c>
      <c r="D27" s="19">
        <f>41922.65</f>
        <v>41922.65</v>
      </c>
    </row>
    <row r="28" spans="1:4" ht="34.5" customHeight="1">
      <c r="A28" s="21" t="s">
        <v>127</v>
      </c>
      <c r="B28" s="20" t="s">
        <v>128</v>
      </c>
      <c r="C28" s="18">
        <f>0</f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18">
        <f>42238.92</f>
        <v>42238.92</v>
      </c>
      <c r="D29" s="19">
        <f>41869.61</f>
        <v>41869.61</v>
      </c>
    </row>
    <row r="30" spans="1:4">
      <c r="A30" s="21" t="s">
        <v>131</v>
      </c>
      <c r="B30" s="20" t="s">
        <v>132</v>
      </c>
      <c r="C30" s="18">
        <f>0</f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14">
        <f>SUM(C32:C39)</f>
        <v>590208.840000008</v>
      </c>
      <c r="D31" s="15">
        <f>SUM(D32:D39)</f>
        <v>183821.22000000003</v>
      </c>
    </row>
    <row r="32" spans="1:4" ht="20.25" customHeight="1">
      <c r="A32" s="24" t="s">
        <v>135</v>
      </c>
      <c r="B32" s="17" t="s">
        <v>136</v>
      </c>
      <c r="C32" s="18">
        <f>61262.82</f>
        <v>61262.82</v>
      </c>
      <c r="D32" s="19">
        <f>61262.83</f>
        <v>61262.83</v>
      </c>
    </row>
    <row r="33" spans="1:4">
      <c r="A33" s="24" t="s">
        <v>137</v>
      </c>
      <c r="B33" s="17" t="s">
        <v>138</v>
      </c>
      <c r="C33" s="18">
        <f>56769.24</f>
        <v>56769.24</v>
      </c>
      <c r="D33" s="19">
        <f>54490.71</f>
        <v>54490.71</v>
      </c>
    </row>
    <row r="34" spans="1:4">
      <c r="A34" s="24" t="s">
        <v>139</v>
      </c>
      <c r="B34" s="17" t="s">
        <v>140</v>
      </c>
      <c r="C34" s="18">
        <f>49632.96</f>
        <v>49632.959999999999</v>
      </c>
      <c r="D34" s="19">
        <f>50666.26</f>
        <v>50666.26</v>
      </c>
    </row>
    <row r="35" spans="1:4">
      <c r="A35" s="24" t="s">
        <v>141</v>
      </c>
      <c r="B35" s="17" t="s">
        <v>142</v>
      </c>
      <c r="C35" s="18">
        <f>0</f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18">
        <f>0</f>
        <v>0</v>
      </c>
      <c r="D36" s="19">
        <f>0</f>
        <v>0</v>
      </c>
    </row>
    <row r="37" spans="1:4" ht="20.25" customHeight="1">
      <c r="A37" s="24" t="s">
        <v>145</v>
      </c>
      <c r="B37" s="17" t="s">
        <v>146</v>
      </c>
      <c r="C37" s="18">
        <f>0</f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18">
        <f>0</f>
        <v>0</v>
      </c>
      <c r="D38" s="19">
        <f>0</f>
        <v>0</v>
      </c>
    </row>
    <row r="39" spans="1:4" ht="22.5" customHeight="1">
      <c r="A39" s="24" t="s">
        <v>478</v>
      </c>
      <c r="B39" s="17" t="s">
        <v>150</v>
      </c>
      <c r="C39" s="18">
        <f>422543.820000008</f>
        <v>422543.82000000798</v>
      </c>
      <c r="D39" s="19">
        <v>17401.419999999998</v>
      </c>
    </row>
    <row r="40" spans="1:4" ht="24" customHeight="1">
      <c r="A40" s="8" t="s">
        <v>151</v>
      </c>
      <c r="B40" s="9" t="s">
        <v>152</v>
      </c>
      <c r="C40" s="26">
        <f>0</f>
        <v>0</v>
      </c>
      <c r="D40" s="27">
        <f>0</f>
        <v>0</v>
      </c>
    </row>
    <row r="41" spans="1:4" ht="21" customHeight="1">
      <c r="A41" s="8" t="s">
        <v>153</v>
      </c>
      <c r="B41" s="9" t="s">
        <v>154</v>
      </c>
      <c r="C41" s="26">
        <f>0</f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26">
        <f>0</f>
        <v>0</v>
      </c>
      <c r="D42" s="27">
        <f>0</f>
        <v>0</v>
      </c>
    </row>
    <row r="43" spans="1:4" ht="21" customHeight="1">
      <c r="A43" s="8" t="s">
        <v>157</v>
      </c>
      <c r="B43" s="9" t="s">
        <v>158</v>
      </c>
      <c r="C43" s="26">
        <f>0</f>
        <v>0</v>
      </c>
      <c r="D43" s="27">
        <v>488415.05</v>
      </c>
    </row>
    <row r="44" spans="1:4">
      <c r="A44" s="8" t="s">
        <v>159</v>
      </c>
      <c r="B44" s="9" t="s">
        <v>160</v>
      </c>
      <c r="C44" s="26">
        <f>0</f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26">
        <f>SUM(C46:C48)</f>
        <v>25357.68</v>
      </c>
      <c r="D45" s="27">
        <f>SUM(D46:D48)</f>
        <v>27997.98</v>
      </c>
    </row>
    <row r="46" spans="1:4">
      <c r="A46" s="21" t="s">
        <v>163</v>
      </c>
      <c r="B46" s="17" t="s">
        <v>164</v>
      </c>
      <c r="C46" s="18">
        <f>24477.36</f>
        <v>24477.360000000001</v>
      </c>
      <c r="D46" s="19">
        <f>27117.66</f>
        <v>27117.66</v>
      </c>
    </row>
    <row r="47" spans="1:4">
      <c r="A47" s="21" t="s">
        <v>149</v>
      </c>
      <c r="B47" s="17" t="s">
        <v>165</v>
      </c>
      <c r="C47" s="18">
        <f>0</f>
        <v>0</v>
      </c>
      <c r="D47" s="19">
        <f>0</f>
        <v>0</v>
      </c>
    </row>
    <row r="48" spans="1:4">
      <c r="A48" s="21" t="s">
        <v>166</v>
      </c>
      <c r="B48" s="17" t="s">
        <v>167</v>
      </c>
      <c r="C48" s="18">
        <f>880.32</f>
        <v>880.32</v>
      </c>
      <c r="D48" s="19">
        <f>880.32</f>
        <v>880.32</v>
      </c>
    </row>
    <row r="49" spans="1:4">
      <c r="A49" s="8" t="s">
        <v>440</v>
      </c>
      <c r="B49" s="28" t="s">
        <v>168</v>
      </c>
      <c r="C49" s="29">
        <f>285526.2</f>
        <v>285526.2</v>
      </c>
      <c r="D49" s="30">
        <f>365868.53</f>
        <v>365868.53</v>
      </c>
    </row>
    <row r="50" spans="1:4">
      <c r="A50" s="8" t="s">
        <v>169</v>
      </c>
      <c r="B50" s="9" t="s">
        <v>170</v>
      </c>
      <c r="C50" s="14">
        <f>C8+C25+C40+C41+C42+C43+C44+C45+C49+C51+C52</f>
        <v>3906542.4600000088</v>
      </c>
      <c r="D50" s="15">
        <f>D8+D25+D40+D41+D42+D43+D44+D45+D49+D51+D52</f>
        <v>3906542.459999999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2255465.94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2191539.78</f>
        <v>2191539.7799999998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63926.16</f>
        <v>63926.16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1204842</f>
        <v>1204842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3460307.94</v>
      </c>
      <c r="D59" s="27">
        <f>D54+D57+D58</f>
        <v>0</v>
      </c>
    </row>
    <row r="60" spans="1:4" ht="25.5">
      <c r="A60" s="33" t="s">
        <v>188</v>
      </c>
      <c r="B60" s="9"/>
      <c r="C60" s="34">
        <v>14500.9</v>
      </c>
      <c r="D60" s="35">
        <v>14500.9</v>
      </c>
    </row>
    <row r="61" spans="1:4" ht="15.75" thickBot="1">
      <c r="A61" s="36" t="s">
        <v>189</v>
      </c>
      <c r="B61" s="37"/>
      <c r="C61" s="38">
        <f>(C50+C51+C52)/C60/12</f>
        <v>22.450000000000049</v>
      </c>
      <c r="D61" s="39">
        <f>(D50+D51+D52)/D60/12</f>
        <v>22.449999999999992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D261"/>
  <sheetViews>
    <sheetView workbookViewId="0">
      <selection activeCell="F14" sqref="F14"/>
    </sheetView>
  </sheetViews>
  <sheetFormatPr defaultColWidth="11.7109375" defaultRowHeight="15"/>
  <cols>
    <col min="1" max="1" width="59" customWidth="1"/>
    <col min="2" max="2" width="9" customWidth="1"/>
    <col min="3" max="3" width="19.85546875" customWidth="1"/>
    <col min="4" max="4" width="17.5703125" customWidth="1"/>
    <col min="5" max="249" width="9.140625" customWidth="1"/>
    <col min="250" max="250" width="38.85546875" customWidth="1"/>
    <col min="251" max="251" width="7.85546875" customWidth="1"/>
    <col min="252" max="252" width="14.85546875" customWidth="1"/>
    <col min="253" max="253" width="11.42578125" customWidth="1"/>
  </cols>
  <sheetData>
    <row r="1" spans="1:4">
      <c r="A1" s="1"/>
      <c r="B1" s="2"/>
      <c r="C1" s="2"/>
      <c r="D1" s="2"/>
    </row>
    <row r="2" spans="1:4">
      <c r="A2" s="109" t="s">
        <v>441</v>
      </c>
      <c r="B2" s="109"/>
      <c r="C2" s="109"/>
      <c r="D2" s="109"/>
    </row>
    <row r="3" spans="1:4" ht="42" customHeight="1">
      <c r="A3" s="110" t="s">
        <v>442</v>
      </c>
      <c r="B3" s="110"/>
      <c r="C3" s="110"/>
      <c r="D3" s="110"/>
    </row>
    <row r="4" spans="1:4" ht="15.75" thickBot="1">
      <c r="A4" s="1"/>
      <c r="B4" s="2"/>
      <c r="C4" s="2"/>
      <c r="D4" s="2"/>
    </row>
    <row r="5" spans="1:4">
      <c r="A5" s="115" t="s">
        <v>83</v>
      </c>
      <c r="B5" s="117" t="s">
        <v>84</v>
      </c>
      <c r="C5" s="119" t="s">
        <v>372</v>
      </c>
      <c r="D5" s="120"/>
    </row>
    <row r="6" spans="1:4">
      <c r="A6" s="116"/>
      <c r="B6" s="118"/>
      <c r="C6" s="46" t="s">
        <v>85</v>
      </c>
      <c r="D6" s="4" t="s">
        <v>86</v>
      </c>
    </row>
    <row r="7" spans="1:4">
      <c r="A7" s="5" t="s">
        <v>87</v>
      </c>
      <c r="B7" s="6"/>
      <c r="C7" s="6"/>
      <c r="D7" s="7"/>
    </row>
    <row r="8" spans="1:4">
      <c r="A8" s="8" t="s">
        <v>88</v>
      </c>
      <c r="B8" s="9" t="s">
        <v>89</v>
      </c>
      <c r="C8" s="77">
        <v>1517663.5699999998</v>
      </c>
      <c r="D8" s="11">
        <f>D9+D11+D14+D15</f>
        <v>1342004</v>
      </c>
    </row>
    <row r="9" spans="1:4" ht="30">
      <c r="A9" s="12" t="s">
        <v>90</v>
      </c>
      <c r="B9" s="13" t="s">
        <v>91</v>
      </c>
      <c r="C9" s="78">
        <v>1354496.7</v>
      </c>
      <c r="D9" s="15">
        <f>1250677.62</f>
        <v>1250677.6200000001</v>
      </c>
    </row>
    <row r="10" spans="1:4">
      <c r="A10" s="16" t="s">
        <v>92</v>
      </c>
      <c r="B10" s="17" t="s">
        <v>93</v>
      </c>
      <c r="C10" s="79">
        <v>865331.56682027597</v>
      </c>
      <c r="D10" s="19">
        <f>_99h_E12</f>
        <v>865331.56682027597</v>
      </c>
    </row>
    <row r="11" spans="1:4" ht="20.25" customHeight="1">
      <c r="A11" s="12" t="s">
        <v>94</v>
      </c>
      <c r="B11" s="20" t="s">
        <v>95</v>
      </c>
      <c r="C11" s="78">
        <v>0</v>
      </c>
      <c r="D11" s="15">
        <f>D12+D13</f>
        <v>0</v>
      </c>
    </row>
    <row r="12" spans="1:4">
      <c r="A12" s="21" t="s">
        <v>96</v>
      </c>
      <c r="B12" s="17" t="s">
        <v>97</v>
      </c>
      <c r="C12" s="79">
        <v>0</v>
      </c>
      <c r="D12" s="19">
        <f>0</f>
        <v>0</v>
      </c>
    </row>
    <row r="13" spans="1:4" ht="17.25" customHeight="1">
      <c r="A13" s="88" t="s">
        <v>462</v>
      </c>
      <c r="B13" s="17" t="s">
        <v>98</v>
      </c>
      <c r="C13" s="79">
        <v>0</v>
      </c>
      <c r="D13" s="19">
        <f>0</f>
        <v>0</v>
      </c>
    </row>
    <row r="14" spans="1:4" ht="19.5" customHeight="1">
      <c r="A14" s="12" t="s">
        <v>99</v>
      </c>
      <c r="B14" s="20" t="s">
        <v>100</v>
      </c>
      <c r="C14" s="79">
        <v>0</v>
      </c>
      <c r="D14" s="19">
        <f>0</f>
        <v>0</v>
      </c>
    </row>
    <row r="15" spans="1:4" ht="28.5">
      <c r="A15" s="8" t="s">
        <v>101</v>
      </c>
      <c r="B15" s="20" t="s">
        <v>102</v>
      </c>
      <c r="C15" s="78">
        <v>163166.87</v>
      </c>
      <c r="D15" s="15">
        <f>SUM(D16:D24)</f>
        <v>91326.38</v>
      </c>
    </row>
    <row r="16" spans="1:4">
      <c r="A16" s="22" t="s">
        <v>103</v>
      </c>
      <c r="B16" s="17" t="s">
        <v>104</v>
      </c>
      <c r="C16" s="111">
        <v>131244.48000000001</v>
      </c>
      <c r="D16" s="113">
        <v>59403.68</v>
      </c>
    </row>
    <row r="17" spans="1:4">
      <c r="A17" s="22" t="s">
        <v>105</v>
      </c>
      <c r="B17" s="17" t="s">
        <v>106</v>
      </c>
      <c r="C17" s="112"/>
      <c r="D17" s="114"/>
    </row>
    <row r="18" spans="1:4">
      <c r="A18" s="22" t="s">
        <v>107</v>
      </c>
      <c r="B18" s="17" t="s">
        <v>108</v>
      </c>
      <c r="C18" s="79">
        <v>0</v>
      </c>
      <c r="D18" s="19">
        <f>0</f>
        <v>0</v>
      </c>
    </row>
    <row r="19" spans="1:4">
      <c r="A19" s="22" t="s">
        <v>109</v>
      </c>
      <c r="B19" s="17" t="s">
        <v>110</v>
      </c>
      <c r="C19" s="79">
        <v>3775.38</v>
      </c>
      <c r="D19" s="19">
        <f>3777.9</f>
        <v>3777.9</v>
      </c>
    </row>
    <row r="20" spans="1:4">
      <c r="A20" s="22" t="s">
        <v>111</v>
      </c>
      <c r="B20" s="17" t="s">
        <v>112</v>
      </c>
      <c r="C20" s="79">
        <v>5008.3999999999996</v>
      </c>
      <c r="D20" s="19">
        <f>5006.19</f>
        <v>5006.1899999999996</v>
      </c>
    </row>
    <row r="21" spans="1:4">
      <c r="A21" s="22" t="s">
        <v>113</v>
      </c>
      <c r="B21" s="17" t="s">
        <v>114</v>
      </c>
      <c r="C21" s="79">
        <v>0</v>
      </c>
      <c r="D21" s="19">
        <f>0</f>
        <v>0</v>
      </c>
    </row>
    <row r="22" spans="1:4">
      <c r="A22" s="22" t="s">
        <v>115</v>
      </c>
      <c r="B22" s="17" t="s">
        <v>116</v>
      </c>
      <c r="C22" s="79">
        <v>23138.61</v>
      </c>
      <c r="D22" s="19">
        <f>23138.61</f>
        <v>23138.61</v>
      </c>
    </row>
    <row r="23" spans="1:4">
      <c r="A23" s="22" t="s">
        <v>117</v>
      </c>
      <c r="B23" s="17" t="s">
        <v>118</v>
      </c>
      <c r="C23" s="79">
        <v>0</v>
      </c>
      <c r="D23" s="19">
        <f>0</f>
        <v>0</v>
      </c>
    </row>
    <row r="24" spans="1:4" ht="19.5" customHeight="1">
      <c r="A24" s="23" t="s">
        <v>119</v>
      </c>
      <c r="B24" s="17" t="s">
        <v>120</v>
      </c>
      <c r="C24" s="79">
        <v>0</v>
      </c>
      <c r="D24" s="19">
        <f>0</f>
        <v>0</v>
      </c>
    </row>
    <row r="25" spans="1:4">
      <c r="A25" s="8" t="s">
        <v>121</v>
      </c>
      <c r="B25" s="9" t="s">
        <v>122</v>
      </c>
      <c r="C25" s="78">
        <v>618523.68000000005</v>
      </c>
      <c r="D25" s="15">
        <f>D26+D27+D30+D28+D29+D31</f>
        <v>310066.08</v>
      </c>
    </row>
    <row r="26" spans="1:4" ht="22.5" customHeight="1">
      <c r="A26" s="24" t="s">
        <v>123</v>
      </c>
      <c r="B26" s="20" t="s">
        <v>124</v>
      </c>
      <c r="C26" s="79">
        <v>167795.88</v>
      </c>
      <c r="D26" s="19">
        <f>167516.22</f>
        <v>167516.22</v>
      </c>
    </row>
    <row r="27" spans="1:4" ht="45">
      <c r="A27" s="24" t="s">
        <v>125</v>
      </c>
      <c r="B27" s="20" t="s">
        <v>126</v>
      </c>
      <c r="C27" s="79">
        <v>25330.080000000002</v>
      </c>
      <c r="D27" s="19">
        <f>25269.25</f>
        <v>25269.25</v>
      </c>
    </row>
    <row r="28" spans="1:4" ht="33" customHeight="1">
      <c r="A28" s="21" t="s">
        <v>127</v>
      </c>
      <c r="B28" s="20" t="s">
        <v>128</v>
      </c>
      <c r="C28" s="79">
        <v>0</v>
      </c>
      <c r="D28" s="19">
        <f>0</f>
        <v>0</v>
      </c>
    </row>
    <row r="29" spans="1:4">
      <c r="A29" s="21" t="s">
        <v>129</v>
      </c>
      <c r="B29" s="20" t="s">
        <v>130</v>
      </c>
      <c r="C29" s="79">
        <v>25536.48</v>
      </c>
      <c r="D29" s="19">
        <f>25313.13</f>
        <v>25313.13</v>
      </c>
    </row>
    <row r="30" spans="1:4">
      <c r="A30" s="21" t="s">
        <v>131</v>
      </c>
      <c r="B30" s="20" t="s">
        <v>132</v>
      </c>
      <c r="C30" s="79">
        <v>0</v>
      </c>
      <c r="D30" s="19">
        <f>0</f>
        <v>0</v>
      </c>
    </row>
    <row r="31" spans="1:4">
      <c r="A31" s="25" t="s">
        <v>133</v>
      </c>
      <c r="B31" s="20" t="s">
        <v>134</v>
      </c>
      <c r="C31" s="78">
        <v>399861.24</v>
      </c>
      <c r="D31" s="15">
        <f>SUM(D32:D39)</f>
        <v>91967.48000000001</v>
      </c>
    </row>
    <row r="32" spans="1:4" ht="20.25" customHeight="1">
      <c r="A32" s="24" t="s">
        <v>135</v>
      </c>
      <c r="B32" s="17" t="s">
        <v>136</v>
      </c>
      <c r="C32" s="79">
        <v>38289.26</v>
      </c>
      <c r="D32" s="19">
        <f>38289.26</f>
        <v>38289.26</v>
      </c>
    </row>
    <row r="33" spans="1:4">
      <c r="A33" s="24" t="s">
        <v>137</v>
      </c>
      <c r="B33" s="17" t="s">
        <v>138</v>
      </c>
      <c r="C33" s="79">
        <v>34375.800000000003</v>
      </c>
      <c r="D33" s="19">
        <f>22064.15</f>
        <v>22064.15</v>
      </c>
    </row>
    <row r="34" spans="1:4">
      <c r="A34" s="24" t="s">
        <v>139</v>
      </c>
      <c r="B34" s="17" t="s">
        <v>140</v>
      </c>
      <c r="C34" s="79">
        <v>30969.24</v>
      </c>
      <c r="D34" s="19">
        <f>31614.07</f>
        <v>31614.07</v>
      </c>
    </row>
    <row r="35" spans="1:4">
      <c r="A35" s="24" t="s">
        <v>141</v>
      </c>
      <c r="B35" s="17" t="s">
        <v>142</v>
      </c>
      <c r="C35" s="79">
        <v>0</v>
      </c>
      <c r="D35" s="19">
        <f>0</f>
        <v>0</v>
      </c>
    </row>
    <row r="36" spans="1:4">
      <c r="A36" s="24" t="s">
        <v>143</v>
      </c>
      <c r="B36" s="17" t="s">
        <v>144</v>
      </c>
      <c r="C36" s="79">
        <v>0</v>
      </c>
      <c r="D36" s="19">
        <f>0</f>
        <v>0</v>
      </c>
    </row>
    <row r="37" spans="1:4" ht="21" customHeight="1">
      <c r="A37" s="24" t="s">
        <v>145</v>
      </c>
      <c r="B37" s="17" t="s">
        <v>146</v>
      </c>
      <c r="C37" s="79">
        <v>0</v>
      </c>
      <c r="D37" s="19">
        <f>0</f>
        <v>0</v>
      </c>
    </row>
    <row r="38" spans="1:4">
      <c r="A38" s="24" t="s">
        <v>147</v>
      </c>
      <c r="B38" s="17" t="s">
        <v>148</v>
      </c>
      <c r="C38" s="79">
        <v>0</v>
      </c>
      <c r="D38" s="19">
        <f>0</f>
        <v>0</v>
      </c>
    </row>
    <row r="39" spans="1:4">
      <c r="A39" s="24" t="s">
        <v>149</v>
      </c>
      <c r="B39" s="17" t="s">
        <v>150</v>
      </c>
      <c r="C39" s="79">
        <v>296226.94</v>
      </c>
      <c r="D39" s="19">
        <f>0</f>
        <v>0</v>
      </c>
    </row>
    <row r="40" spans="1:4" ht="22.5" customHeight="1">
      <c r="A40" s="8" t="s">
        <v>151</v>
      </c>
      <c r="B40" s="9" t="s">
        <v>152</v>
      </c>
      <c r="C40" s="80">
        <v>0</v>
      </c>
      <c r="D40" s="27">
        <f>0</f>
        <v>0</v>
      </c>
    </row>
    <row r="41" spans="1:4" ht="28.5">
      <c r="A41" s="8" t="s">
        <v>153</v>
      </c>
      <c r="B41" s="9" t="s">
        <v>154</v>
      </c>
      <c r="C41" s="80">
        <v>0</v>
      </c>
      <c r="D41" s="27">
        <f>0</f>
        <v>0</v>
      </c>
    </row>
    <row r="42" spans="1:4">
      <c r="A42" s="8" t="s">
        <v>155</v>
      </c>
      <c r="B42" s="9" t="s">
        <v>156</v>
      </c>
      <c r="C42" s="80">
        <v>0</v>
      </c>
      <c r="D42" s="27">
        <f>0</f>
        <v>0</v>
      </c>
    </row>
    <row r="43" spans="1:4" ht="21.75" customHeight="1">
      <c r="A43" s="8" t="s">
        <v>157</v>
      </c>
      <c r="B43" s="9" t="s">
        <v>158</v>
      </c>
      <c r="C43" s="80">
        <v>0</v>
      </c>
      <c r="D43" s="27">
        <f>0</f>
        <v>0</v>
      </c>
    </row>
    <row r="44" spans="1:4">
      <c r="A44" s="8" t="s">
        <v>159</v>
      </c>
      <c r="B44" s="9" t="s">
        <v>160</v>
      </c>
      <c r="C44" s="80">
        <v>0</v>
      </c>
      <c r="D44" s="27">
        <f>0</f>
        <v>0</v>
      </c>
    </row>
    <row r="45" spans="1:4">
      <c r="A45" s="8" t="s">
        <v>161</v>
      </c>
      <c r="B45" s="9" t="s">
        <v>162</v>
      </c>
      <c r="C45" s="80">
        <v>38904.67</v>
      </c>
      <c r="D45" s="27">
        <f>SUM(D46:D48)</f>
        <v>474449.39</v>
      </c>
    </row>
    <row r="46" spans="1:4">
      <c r="A46" s="21" t="s">
        <v>163</v>
      </c>
      <c r="B46" s="17" t="s">
        <v>164</v>
      </c>
      <c r="C46" s="79">
        <v>14798.4</v>
      </c>
      <c r="D46" s="19">
        <f>16394.61</f>
        <v>16394.61</v>
      </c>
    </row>
    <row r="47" spans="1:4">
      <c r="A47" s="21" t="s">
        <v>149</v>
      </c>
      <c r="B47" s="17" t="s">
        <v>165</v>
      </c>
      <c r="C47" s="79">
        <v>23556.07</v>
      </c>
      <c r="D47" s="19">
        <f>457504.58</f>
        <v>457504.58</v>
      </c>
    </row>
    <row r="48" spans="1:4">
      <c r="A48" s="21" t="s">
        <v>166</v>
      </c>
      <c r="B48" s="17" t="s">
        <v>167</v>
      </c>
      <c r="C48" s="79">
        <v>550.20000000000005</v>
      </c>
      <c r="D48" s="19">
        <f>550.2</f>
        <v>550.20000000000005</v>
      </c>
    </row>
    <row r="49" spans="1:4">
      <c r="A49" s="8" t="s">
        <v>440</v>
      </c>
      <c r="B49" s="28" t="s">
        <v>168</v>
      </c>
      <c r="C49" s="81">
        <v>172621.32</v>
      </c>
      <c r="D49" s="30">
        <f>221193.77</f>
        <v>221193.77</v>
      </c>
    </row>
    <row r="50" spans="1:4">
      <c r="A50" s="8" t="s">
        <v>169</v>
      </c>
      <c r="B50" s="9" t="s">
        <v>170</v>
      </c>
      <c r="C50" s="14">
        <f>C8+C25+C40+C41+C42+C43+C44+C45+C49+C51+C52</f>
        <v>2347713.2399999998</v>
      </c>
      <c r="D50" s="15">
        <f>D8+D25+D40+D41+D42+D43+D44+D45+D49+D51+D52</f>
        <v>2347713.2400000002</v>
      </c>
    </row>
    <row r="51" spans="1:4">
      <c r="A51" s="8" t="s">
        <v>171</v>
      </c>
      <c r="B51" s="9" t="s">
        <v>172</v>
      </c>
      <c r="C51" s="26"/>
      <c r="D51" s="27"/>
    </row>
    <row r="52" spans="1:4">
      <c r="A52" s="8" t="s">
        <v>173</v>
      </c>
      <c r="B52" s="9" t="s">
        <v>174</v>
      </c>
      <c r="C52" s="26"/>
      <c r="D52" s="27"/>
    </row>
    <row r="53" spans="1:4" ht="28.5" hidden="1">
      <c r="A53" s="45" t="s">
        <v>175</v>
      </c>
      <c r="B53" s="20"/>
      <c r="C53" s="18"/>
      <c r="D53" s="19"/>
    </row>
    <row r="54" spans="1:4" ht="28.5" hidden="1">
      <c r="A54" s="45" t="s">
        <v>176</v>
      </c>
      <c r="B54" s="9" t="s">
        <v>177</v>
      </c>
      <c r="C54" s="26">
        <f>SUM(C55:C56)</f>
        <v>1250938.3799999999</v>
      </c>
      <c r="D54" s="27">
        <f>SUM(D55:D56)</f>
        <v>0</v>
      </c>
    </row>
    <row r="55" spans="1:4" hidden="1">
      <c r="A55" s="21" t="s">
        <v>178</v>
      </c>
      <c r="B55" s="17" t="s">
        <v>179</v>
      </c>
      <c r="C55" s="18">
        <f>1250938.38</f>
        <v>1250938.3799999999</v>
      </c>
      <c r="D55" s="19">
        <f>0</f>
        <v>0</v>
      </c>
    </row>
    <row r="56" spans="1:4" hidden="1">
      <c r="A56" s="21" t="s">
        <v>180</v>
      </c>
      <c r="B56" s="17" t="s">
        <v>181</v>
      </c>
      <c r="C56" s="18">
        <f>0</f>
        <v>0</v>
      </c>
      <c r="D56" s="19">
        <f>0</f>
        <v>0</v>
      </c>
    </row>
    <row r="57" spans="1:4" ht="28.5" hidden="1">
      <c r="A57" s="45" t="s">
        <v>182</v>
      </c>
      <c r="B57" s="9" t="s">
        <v>183</v>
      </c>
      <c r="C57" s="26"/>
      <c r="D57" s="27"/>
    </row>
    <row r="58" spans="1:4" hidden="1">
      <c r="A58" s="31" t="s">
        <v>184</v>
      </c>
      <c r="B58" s="28" t="s">
        <v>185</v>
      </c>
      <c r="C58" s="29">
        <f>678354</f>
        <v>678354</v>
      </c>
      <c r="D58" s="30">
        <f>0</f>
        <v>0</v>
      </c>
    </row>
    <row r="59" spans="1:4" hidden="1">
      <c r="A59" s="45" t="s">
        <v>186</v>
      </c>
      <c r="B59" s="9"/>
      <c r="C59" s="26">
        <f>C54+C57+C58</f>
        <v>1929292.38</v>
      </c>
      <c r="D59" s="27">
        <f>D54+D57+D58</f>
        <v>0</v>
      </c>
    </row>
    <row r="60" spans="1:4" ht="25.5">
      <c r="A60" s="33" t="s">
        <v>188</v>
      </c>
      <c r="B60" s="9"/>
      <c r="C60" s="34">
        <v>8714.6</v>
      </c>
      <c r="D60" s="35">
        <v>8714.6</v>
      </c>
    </row>
    <row r="61" spans="1:4" ht="15.75" thickBot="1">
      <c r="A61" s="36" t="s">
        <v>189</v>
      </c>
      <c r="B61" s="37"/>
      <c r="C61" s="38">
        <f>(C50+C51+C52)/C60/12</f>
        <v>22.45</v>
      </c>
      <c r="D61" s="39">
        <f>(D50+D51+D52)/D60/12</f>
        <v>22.450000000000003</v>
      </c>
    </row>
    <row r="62" spans="1:4">
      <c r="A62" s="40"/>
      <c r="B62" s="41"/>
      <c r="C62" s="41"/>
      <c r="D62" s="41"/>
    </row>
    <row r="63" spans="1:4">
      <c r="A63" s="40"/>
      <c r="B63" s="2"/>
      <c r="C63" s="2"/>
      <c r="D63" s="2"/>
    </row>
    <row r="64" spans="1:4">
      <c r="A64" s="42" t="s">
        <v>463</v>
      </c>
      <c r="B64" s="43"/>
      <c r="C64" s="43"/>
      <c r="D64" s="43" t="s">
        <v>464</v>
      </c>
    </row>
    <row r="65" spans="1:4">
      <c r="A65" s="40"/>
      <c r="B65" s="2"/>
      <c r="C65" s="2"/>
      <c r="D65" s="2"/>
    </row>
    <row r="66" spans="1:4">
      <c r="A66" s="42" t="s">
        <v>465</v>
      </c>
      <c r="B66" s="43"/>
      <c r="C66" s="43"/>
      <c r="D66" s="43" t="s">
        <v>466</v>
      </c>
    </row>
    <row r="67" spans="1:4">
      <c r="A67" s="44"/>
      <c r="B67" s="2"/>
      <c r="C67" s="2"/>
      <c r="D67" s="2"/>
    </row>
    <row r="68" spans="1:4">
      <c r="A68" s="42" t="s">
        <v>467</v>
      </c>
      <c r="B68" s="43"/>
      <c r="C68" s="43"/>
      <c r="D68" s="43" t="s">
        <v>468</v>
      </c>
    </row>
    <row r="69" spans="1:4">
      <c r="A69" s="44"/>
      <c r="B69" s="2"/>
      <c r="C69" s="2"/>
      <c r="D69" s="2"/>
    </row>
    <row r="70" spans="1:4">
      <c r="A70" s="40"/>
      <c r="B70" s="2"/>
      <c r="C70" s="2"/>
      <c r="D70" s="2"/>
    </row>
    <row r="71" spans="1:4">
      <c r="A71" s="40"/>
      <c r="B71" s="2"/>
      <c r="C71" s="2"/>
      <c r="D71" s="2"/>
    </row>
    <row r="72" spans="1:4">
      <c r="A72" s="40"/>
      <c r="B72" s="2"/>
      <c r="C72" s="2"/>
      <c r="D72" s="2"/>
    </row>
    <row r="73" spans="1:4">
      <c r="A73" s="40"/>
      <c r="B73" s="2"/>
      <c r="C73" s="2"/>
      <c r="D73" s="2"/>
    </row>
    <row r="74" spans="1:4">
      <c r="A74" s="40"/>
      <c r="B74" s="2"/>
      <c r="C74" s="2"/>
      <c r="D74" s="2"/>
    </row>
    <row r="75" spans="1:4">
      <c r="A75" s="40"/>
      <c r="B75" s="2"/>
      <c r="C75" s="2"/>
      <c r="D75" s="2"/>
    </row>
    <row r="76" spans="1:4">
      <c r="A76" s="40"/>
      <c r="B76" s="2"/>
      <c r="C76" s="2"/>
      <c r="D76" s="2"/>
    </row>
    <row r="77" spans="1:4">
      <c r="A77" s="40"/>
      <c r="B77" s="2"/>
      <c r="C77" s="2"/>
      <c r="D77" s="2"/>
    </row>
    <row r="78" spans="1:4">
      <c r="A78" s="40"/>
      <c r="B78" s="2"/>
      <c r="C78" s="2"/>
      <c r="D78" s="2"/>
    </row>
    <row r="79" spans="1:4">
      <c r="A79" s="40"/>
      <c r="B79" s="2"/>
      <c r="C79" s="2"/>
      <c r="D79" s="2"/>
    </row>
    <row r="80" spans="1:4">
      <c r="A80" s="40"/>
      <c r="B80" s="2"/>
      <c r="C80" s="2"/>
      <c r="D80" s="2"/>
    </row>
    <row r="81" spans="1:4">
      <c r="A81" s="40"/>
      <c r="B81" s="2"/>
      <c r="C81" s="2"/>
      <c r="D81" s="2"/>
    </row>
    <row r="82" spans="1:4">
      <c r="A82" s="40"/>
      <c r="B82" s="2"/>
      <c r="C82" s="2"/>
      <c r="D82" s="2"/>
    </row>
    <row r="83" spans="1:4">
      <c r="A83" s="40"/>
      <c r="B83" s="2"/>
      <c r="C83" s="2"/>
      <c r="D83" s="2"/>
    </row>
    <row r="84" spans="1:4">
      <c r="A84" s="40"/>
      <c r="B84" s="2"/>
      <c r="C84" s="2"/>
      <c r="D84" s="2"/>
    </row>
    <row r="85" spans="1:4">
      <c r="A85" s="40"/>
      <c r="B85" s="2"/>
      <c r="C85" s="2"/>
      <c r="D85" s="2"/>
    </row>
    <row r="86" spans="1:4">
      <c r="A86" s="40"/>
      <c r="B86" s="2"/>
      <c r="C86" s="2"/>
      <c r="D86" s="2"/>
    </row>
    <row r="87" spans="1:4">
      <c r="A87" s="40"/>
      <c r="B87" s="2"/>
      <c r="C87" s="2"/>
      <c r="D87" s="2"/>
    </row>
    <row r="88" spans="1:4">
      <c r="A88" s="40"/>
      <c r="B88" s="2"/>
      <c r="C88" s="2"/>
      <c r="D88" s="2"/>
    </row>
    <row r="89" spans="1:4">
      <c r="A89" s="40"/>
      <c r="B89" s="2"/>
      <c r="C89" s="2"/>
      <c r="D89" s="2"/>
    </row>
    <row r="90" spans="1:4">
      <c r="A90" s="40"/>
      <c r="B90" s="2"/>
      <c r="C90" s="2"/>
      <c r="D90" s="2"/>
    </row>
    <row r="91" spans="1:4">
      <c r="A91" s="40"/>
      <c r="B91" s="2"/>
      <c r="C91" s="2"/>
      <c r="D91" s="2"/>
    </row>
    <row r="92" spans="1:4">
      <c r="A92" s="40"/>
      <c r="B92" s="2"/>
      <c r="C92" s="2"/>
      <c r="D92" s="2"/>
    </row>
    <row r="93" spans="1:4">
      <c r="A93" s="40"/>
      <c r="B93" s="2"/>
      <c r="C93" s="2"/>
      <c r="D93" s="2"/>
    </row>
    <row r="94" spans="1:4">
      <c r="A94" s="40"/>
      <c r="B94" s="2"/>
      <c r="C94" s="2"/>
      <c r="D94" s="2"/>
    </row>
    <row r="95" spans="1:4">
      <c r="A95" s="40"/>
      <c r="B95" s="2"/>
      <c r="C95" s="2"/>
      <c r="D95" s="2"/>
    </row>
    <row r="96" spans="1:4">
      <c r="A96" s="40"/>
      <c r="B96" s="2"/>
      <c r="C96" s="2"/>
      <c r="D96" s="2"/>
    </row>
    <row r="97" spans="1:4">
      <c r="A97" s="40"/>
      <c r="B97" s="2"/>
      <c r="C97" s="2"/>
      <c r="D97" s="2"/>
    </row>
    <row r="98" spans="1:4">
      <c r="A98" s="40"/>
      <c r="B98" s="2"/>
      <c r="C98" s="2"/>
      <c r="D98" s="2"/>
    </row>
    <row r="99" spans="1:4">
      <c r="A99" s="40"/>
      <c r="B99" s="2"/>
      <c r="C99" s="2"/>
      <c r="D99" s="2"/>
    </row>
    <row r="100" spans="1:4">
      <c r="A100" s="40"/>
      <c r="B100" s="2"/>
      <c r="C100" s="2"/>
      <c r="D100" s="2"/>
    </row>
    <row r="101" spans="1:4">
      <c r="A101" s="40"/>
      <c r="B101" s="2"/>
      <c r="C101" s="2"/>
      <c r="D101" s="2"/>
    </row>
    <row r="102" spans="1:4">
      <c r="A102" s="40"/>
      <c r="B102" s="2"/>
      <c r="C102" s="2"/>
      <c r="D102" s="2"/>
    </row>
    <row r="103" spans="1:4">
      <c r="A103" s="40"/>
      <c r="B103" s="2"/>
      <c r="C103" s="2"/>
      <c r="D103" s="2"/>
    </row>
    <row r="104" spans="1:4">
      <c r="A104" s="40"/>
      <c r="B104" s="2"/>
      <c r="C104" s="2"/>
      <c r="D104" s="2"/>
    </row>
    <row r="105" spans="1:4">
      <c r="A105" s="40"/>
      <c r="B105" s="2"/>
      <c r="C105" s="2"/>
      <c r="D105" s="2"/>
    </row>
    <row r="106" spans="1:4">
      <c r="A106" s="40"/>
      <c r="B106" s="2"/>
      <c r="C106" s="2"/>
      <c r="D106" s="2"/>
    </row>
    <row r="107" spans="1:4">
      <c r="A107" s="40"/>
      <c r="B107" s="2"/>
      <c r="C107" s="2"/>
      <c r="D107" s="2"/>
    </row>
    <row r="108" spans="1:4">
      <c r="A108" s="40"/>
      <c r="B108" s="2"/>
      <c r="C108" s="2"/>
      <c r="D108" s="2"/>
    </row>
    <row r="109" spans="1:4">
      <c r="A109" s="40"/>
      <c r="B109" s="2"/>
      <c r="C109" s="2"/>
      <c r="D109" s="2"/>
    </row>
    <row r="110" spans="1:4">
      <c r="A110" s="40"/>
      <c r="B110" s="2"/>
      <c r="C110" s="2"/>
      <c r="D110" s="2"/>
    </row>
    <row r="111" spans="1:4">
      <c r="A111" s="40"/>
      <c r="B111" s="2"/>
      <c r="C111" s="2"/>
      <c r="D111" s="2"/>
    </row>
    <row r="112" spans="1:4">
      <c r="A112" s="40"/>
      <c r="B112" s="2"/>
      <c r="C112" s="2"/>
      <c r="D112" s="2"/>
    </row>
    <row r="113" spans="1:4">
      <c r="A113" s="40"/>
      <c r="B113" s="2"/>
      <c r="C113" s="2"/>
      <c r="D113" s="2"/>
    </row>
    <row r="114" spans="1:4">
      <c r="A114" s="40"/>
      <c r="B114" s="2"/>
      <c r="C114" s="2"/>
      <c r="D114" s="2"/>
    </row>
    <row r="115" spans="1:4">
      <c r="A115" s="40"/>
      <c r="B115" s="2"/>
      <c r="C115" s="2"/>
      <c r="D115" s="2"/>
    </row>
    <row r="116" spans="1:4">
      <c r="A116" s="40"/>
      <c r="B116" s="2"/>
      <c r="C116" s="2"/>
      <c r="D116" s="2"/>
    </row>
    <row r="117" spans="1:4">
      <c r="A117" s="40"/>
      <c r="B117" s="2"/>
      <c r="C117" s="2"/>
      <c r="D117" s="2"/>
    </row>
    <row r="118" spans="1:4">
      <c r="A118" s="40"/>
      <c r="B118" s="2"/>
      <c r="C118" s="2"/>
      <c r="D118" s="2"/>
    </row>
    <row r="119" spans="1:4">
      <c r="A119" s="40"/>
      <c r="B119" s="2"/>
      <c r="C119" s="2"/>
      <c r="D119" s="2"/>
    </row>
    <row r="120" spans="1:4">
      <c r="A120" s="40"/>
      <c r="B120" s="2"/>
      <c r="C120" s="2"/>
      <c r="D120" s="2"/>
    </row>
    <row r="121" spans="1:4">
      <c r="A121" s="40"/>
      <c r="B121" s="2"/>
      <c r="C121" s="2"/>
      <c r="D121" s="2"/>
    </row>
    <row r="122" spans="1:4">
      <c r="A122" s="40"/>
      <c r="B122" s="2"/>
      <c r="C122" s="2"/>
      <c r="D122" s="2"/>
    </row>
    <row r="123" spans="1:4">
      <c r="A123" s="40"/>
      <c r="B123" s="2"/>
      <c r="C123" s="2"/>
      <c r="D123" s="2"/>
    </row>
    <row r="124" spans="1:4">
      <c r="A124" s="40"/>
      <c r="B124" s="2"/>
      <c r="C124" s="2"/>
      <c r="D124" s="2"/>
    </row>
    <row r="125" spans="1:4">
      <c r="A125" s="40"/>
      <c r="B125" s="2"/>
      <c r="C125" s="2"/>
      <c r="D125" s="2"/>
    </row>
    <row r="126" spans="1:4">
      <c r="A126" s="40"/>
      <c r="B126" s="2"/>
      <c r="C126" s="2"/>
      <c r="D126" s="2"/>
    </row>
    <row r="127" spans="1:4">
      <c r="A127" s="40"/>
      <c r="B127" s="2"/>
      <c r="C127" s="2"/>
      <c r="D127" s="2"/>
    </row>
    <row r="128" spans="1:4">
      <c r="A128" s="40"/>
      <c r="B128" s="2"/>
      <c r="C128" s="2"/>
      <c r="D128" s="2"/>
    </row>
    <row r="129" spans="1:4">
      <c r="A129" s="40"/>
      <c r="B129" s="2"/>
      <c r="C129" s="2"/>
      <c r="D129" s="2"/>
    </row>
    <row r="130" spans="1:4">
      <c r="A130" s="40"/>
      <c r="B130" s="2"/>
      <c r="C130" s="2"/>
      <c r="D130" s="2"/>
    </row>
    <row r="131" spans="1:4">
      <c r="A131" s="40"/>
      <c r="B131" s="2"/>
      <c r="C131" s="2"/>
      <c r="D131" s="2"/>
    </row>
    <row r="132" spans="1:4">
      <c r="A132" s="40"/>
      <c r="B132" s="2"/>
      <c r="C132" s="2"/>
      <c r="D132" s="2"/>
    </row>
    <row r="133" spans="1:4">
      <c r="A133" s="40"/>
      <c r="B133" s="2"/>
      <c r="C133" s="2"/>
      <c r="D133" s="2"/>
    </row>
    <row r="134" spans="1:4">
      <c r="A134" s="40"/>
      <c r="B134" s="2"/>
      <c r="C134" s="2"/>
      <c r="D134" s="2"/>
    </row>
    <row r="135" spans="1:4">
      <c r="A135" s="40"/>
      <c r="B135" s="2"/>
      <c r="C135" s="2"/>
      <c r="D135" s="2"/>
    </row>
    <row r="136" spans="1:4">
      <c r="A136" s="40"/>
      <c r="B136" s="2"/>
      <c r="C136" s="2"/>
      <c r="D136" s="2"/>
    </row>
    <row r="137" spans="1:4">
      <c r="A137" s="40"/>
      <c r="B137" s="2"/>
      <c r="C137" s="2"/>
      <c r="D137" s="2"/>
    </row>
    <row r="138" spans="1:4">
      <c r="A138" s="40"/>
      <c r="B138" s="2"/>
      <c r="C138" s="2"/>
      <c r="D138" s="2"/>
    </row>
    <row r="139" spans="1:4">
      <c r="A139" s="40"/>
      <c r="B139" s="2"/>
      <c r="C139" s="2"/>
      <c r="D139" s="2"/>
    </row>
    <row r="140" spans="1:4">
      <c r="A140" s="40"/>
      <c r="B140" s="2"/>
      <c r="C140" s="2"/>
      <c r="D140" s="2"/>
    </row>
    <row r="141" spans="1:4">
      <c r="A141" s="40"/>
      <c r="B141" s="2"/>
      <c r="C141" s="2"/>
      <c r="D141" s="2"/>
    </row>
    <row r="142" spans="1:4">
      <c r="A142" s="40"/>
      <c r="B142" s="2"/>
      <c r="C142" s="2"/>
      <c r="D142" s="2"/>
    </row>
    <row r="143" spans="1:4">
      <c r="A143" s="40"/>
      <c r="B143" s="2"/>
      <c r="C143" s="2"/>
      <c r="D143" s="2"/>
    </row>
    <row r="144" spans="1:4">
      <c r="A144" s="40"/>
      <c r="B144" s="2"/>
      <c r="C144" s="2"/>
      <c r="D144" s="2"/>
    </row>
    <row r="145" spans="1:4">
      <c r="A145" s="40"/>
      <c r="B145" s="2"/>
      <c r="C145" s="2"/>
      <c r="D145" s="2"/>
    </row>
    <row r="146" spans="1:4">
      <c r="A146" s="40"/>
      <c r="B146" s="2"/>
      <c r="C146" s="2"/>
      <c r="D146" s="2"/>
    </row>
    <row r="147" spans="1:4">
      <c r="A147" s="40"/>
      <c r="B147" s="2"/>
      <c r="C147" s="2"/>
      <c r="D147" s="2"/>
    </row>
    <row r="148" spans="1:4">
      <c r="A148" s="40"/>
      <c r="B148" s="2"/>
      <c r="C148" s="2"/>
      <c r="D148" s="2"/>
    </row>
    <row r="149" spans="1:4">
      <c r="A149" s="40"/>
      <c r="B149" s="2"/>
      <c r="C149" s="2"/>
      <c r="D149" s="2"/>
    </row>
    <row r="150" spans="1:4">
      <c r="A150" s="40"/>
      <c r="B150" s="2"/>
      <c r="C150" s="2"/>
      <c r="D150" s="2"/>
    </row>
    <row r="151" spans="1:4">
      <c r="A151" s="40"/>
      <c r="B151" s="2"/>
      <c r="C151" s="2"/>
      <c r="D151" s="2"/>
    </row>
    <row r="152" spans="1:4">
      <c r="A152" s="40"/>
      <c r="B152" s="2"/>
      <c r="C152" s="2"/>
      <c r="D152" s="2"/>
    </row>
    <row r="153" spans="1:4">
      <c r="A153" s="40"/>
      <c r="B153" s="2"/>
      <c r="C153" s="2"/>
      <c r="D153" s="2"/>
    </row>
    <row r="154" spans="1:4">
      <c r="A154" s="40"/>
      <c r="B154" s="2"/>
      <c r="C154" s="2"/>
      <c r="D154" s="2"/>
    </row>
    <row r="155" spans="1:4">
      <c r="A155" s="40"/>
      <c r="B155" s="2"/>
      <c r="C155" s="2"/>
      <c r="D155" s="2"/>
    </row>
    <row r="156" spans="1:4">
      <c r="A156" s="40"/>
      <c r="B156" s="2"/>
      <c r="C156" s="2"/>
      <c r="D156" s="2"/>
    </row>
    <row r="157" spans="1:4">
      <c r="A157" s="40"/>
      <c r="B157" s="2"/>
      <c r="C157" s="2"/>
      <c r="D157" s="2"/>
    </row>
    <row r="158" spans="1:4">
      <c r="A158" s="40"/>
      <c r="B158" s="2"/>
      <c r="C158" s="2"/>
      <c r="D158" s="2"/>
    </row>
    <row r="159" spans="1:4">
      <c r="A159" s="40"/>
      <c r="B159" s="2"/>
      <c r="C159" s="2"/>
      <c r="D159" s="2"/>
    </row>
    <row r="160" spans="1:4">
      <c r="A160" s="40"/>
      <c r="B160" s="2"/>
      <c r="C160" s="2"/>
      <c r="D160" s="2"/>
    </row>
    <row r="161" spans="1:4">
      <c r="A161" s="40"/>
      <c r="B161" s="2"/>
      <c r="C161" s="2"/>
      <c r="D161" s="2"/>
    </row>
    <row r="162" spans="1:4">
      <c r="A162" s="40"/>
      <c r="B162" s="2"/>
      <c r="C162" s="2"/>
      <c r="D162" s="2"/>
    </row>
    <row r="163" spans="1:4">
      <c r="A163" s="40"/>
      <c r="B163" s="2"/>
      <c r="C163" s="2"/>
      <c r="D163" s="2"/>
    </row>
    <row r="164" spans="1:4">
      <c r="A164" s="40"/>
      <c r="B164" s="2"/>
      <c r="C164" s="2"/>
      <c r="D164" s="2"/>
    </row>
    <row r="165" spans="1:4">
      <c r="A165" s="40"/>
      <c r="B165" s="2"/>
      <c r="C165" s="2"/>
      <c r="D165" s="2"/>
    </row>
    <row r="166" spans="1:4">
      <c r="A166" s="40"/>
      <c r="B166" s="2"/>
      <c r="C166" s="2"/>
      <c r="D166" s="2"/>
    </row>
    <row r="167" spans="1:4">
      <c r="A167" s="40"/>
      <c r="B167" s="2"/>
      <c r="C167" s="2"/>
      <c r="D167" s="2"/>
    </row>
    <row r="168" spans="1:4">
      <c r="A168" s="40"/>
      <c r="B168" s="2"/>
      <c r="C168" s="2"/>
      <c r="D168" s="2"/>
    </row>
    <row r="169" spans="1:4">
      <c r="A169" s="40"/>
      <c r="B169" s="2"/>
      <c r="C169" s="2"/>
      <c r="D169" s="2"/>
    </row>
    <row r="170" spans="1:4">
      <c r="A170" s="40"/>
      <c r="B170" s="2"/>
      <c r="C170" s="2"/>
      <c r="D170" s="2"/>
    </row>
    <row r="171" spans="1:4">
      <c r="A171" s="40"/>
      <c r="B171" s="2"/>
      <c r="C171" s="2"/>
      <c r="D171" s="2"/>
    </row>
    <row r="172" spans="1:4">
      <c r="A172" s="40"/>
      <c r="B172" s="2"/>
      <c r="C172" s="2"/>
      <c r="D172" s="2"/>
    </row>
    <row r="173" spans="1:4">
      <c r="A173" s="40"/>
      <c r="B173" s="2"/>
      <c r="C173" s="2"/>
      <c r="D173" s="2"/>
    </row>
    <row r="174" spans="1:4">
      <c r="A174" s="40"/>
      <c r="B174" s="2"/>
      <c r="C174" s="2"/>
      <c r="D174" s="2"/>
    </row>
    <row r="175" spans="1:4">
      <c r="A175" s="40"/>
      <c r="B175" s="2"/>
      <c r="C175" s="2"/>
      <c r="D175" s="2"/>
    </row>
    <row r="176" spans="1:4">
      <c r="A176" s="40"/>
      <c r="B176" s="2"/>
      <c r="C176" s="2"/>
      <c r="D176" s="2"/>
    </row>
    <row r="177" spans="1:4">
      <c r="A177" s="40"/>
      <c r="B177" s="2"/>
      <c r="C177" s="2"/>
      <c r="D177" s="2"/>
    </row>
    <row r="178" spans="1:4">
      <c r="A178" s="40"/>
      <c r="B178" s="2"/>
      <c r="C178" s="2"/>
      <c r="D178" s="2"/>
    </row>
    <row r="179" spans="1:4">
      <c r="A179" s="40"/>
      <c r="B179" s="2"/>
      <c r="C179" s="2"/>
      <c r="D179" s="2"/>
    </row>
    <row r="180" spans="1:4">
      <c r="A180" s="40"/>
      <c r="B180" s="2"/>
      <c r="C180" s="2"/>
      <c r="D180" s="2"/>
    </row>
    <row r="181" spans="1:4">
      <c r="A181" s="40"/>
      <c r="B181" s="2"/>
      <c r="C181" s="2"/>
      <c r="D181" s="2"/>
    </row>
    <row r="182" spans="1:4">
      <c r="A182" s="40"/>
      <c r="B182" s="2"/>
      <c r="C182" s="2"/>
      <c r="D182" s="2"/>
    </row>
    <row r="183" spans="1:4">
      <c r="A183" s="40"/>
      <c r="B183" s="2"/>
      <c r="C183" s="2"/>
      <c r="D183" s="2"/>
    </row>
    <row r="184" spans="1:4">
      <c r="A184" s="40"/>
      <c r="B184" s="2"/>
      <c r="C184" s="2"/>
      <c r="D184" s="2"/>
    </row>
    <row r="185" spans="1:4">
      <c r="A185" s="40"/>
      <c r="B185" s="2"/>
      <c r="C185" s="2"/>
      <c r="D185" s="2"/>
    </row>
    <row r="186" spans="1:4">
      <c r="A186" s="40"/>
      <c r="B186" s="2"/>
      <c r="C186" s="2"/>
      <c r="D186" s="2"/>
    </row>
    <row r="187" spans="1:4">
      <c r="A187" s="40"/>
      <c r="B187" s="2"/>
      <c r="C187" s="2"/>
      <c r="D187" s="2"/>
    </row>
    <row r="188" spans="1:4">
      <c r="A188" s="40"/>
      <c r="B188" s="2"/>
      <c r="C188" s="2"/>
      <c r="D188" s="2"/>
    </row>
    <row r="189" spans="1:4">
      <c r="A189" s="40"/>
      <c r="B189" s="2"/>
      <c r="C189" s="2"/>
      <c r="D189" s="2"/>
    </row>
    <row r="190" spans="1:4">
      <c r="A190" s="40"/>
      <c r="B190" s="2"/>
      <c r="C190" s="2"/>
      <c r="D190" s="2"/>
    </row>
    <row r="191" spans="1:4">
      <c r="A191" s="40"/>
      <c r="B191" s="2"/>
      <c r="C191" s="2"/>
      <c r="D191" s="2"/>
    </row>
    <row r="192" spans="1:4">
      <c r="A192" s="40"/>
      <c r="B192" s="2"/>
      <c r="C192" s="2"/>
      <c r="D192" s="2"/>
    </row>
    <row r="193" spans="1:4">
      <c r="A193" s="40"/>
      <c r="B193" s="2"/>
      <c r="C193" s="2"/>
      <c r="D193" s="2"/>
    </row>
    <row r="194" spans="1:4">
      <c r="A194" s="40"/>
      <c r="B194" s="2"/>
      <c r="C194" s="2"/>
      <c r="D194" s="2"/>
    </row>
    <row r="195" spans="1:4">
      <c r="A195" s="40"/>
      <c r="B195" s="2"/>
      <c r="C195" s="2"/>
      <c r="D195" s="2"/>
    </row>
    <row r="196" spans="1:4">
      <c r="A196" s="40"/>
      <c r="B196" s="2"/>
      <c r="C196" s="2"/>
      <c r="D196" s="2"/>
    </row>
    <row r="197" spans="1:4">
      <c r="A197" s="40"/>
      <c r="B197" s="2"/>
      <c r="C197" s="2"/>
      <c r="D197" s="2"/>
    </row>
    <row r="198" spans="1:4">
      <c r="A198" s="40"/>
      <c r="B198" s="2"/>
      <c r="C198" s="2"/>
      <c r="D198" s="2"/>
    </row>
    <row r="199" spans="1:4">
      <c r="A199" s="40"/>
      <c r="B199" s="2"/>
      <c r="C199" s="2"/>
      <c r="D199" s="2"/>
    </row>
    <row r="200" spans="1:4">
      <c r="A200" s="40"/>
      <c r="B200" s="2"/>
      <c r="C200" s="2"/>
      <c r="D200" s="2"/>
    </row>
    <row r="201" spans="1:4">
      <c r="A201" s="40"/>
      <c r="B201" s="2"/>
      <c r="C201" s="2"/>
      <c r="D201" s="2"/>
    </row>
    <row r="202" spans="1:4">
      <c r="A202" s="40"/>
      <c r="B202" s="2"/>
      <c r="C202" s="2"/>
      <c r="D202" s="2"/>
    </row>
    <row r="203" spans="1:4">
      <c r="A203" s="40"/>
      <c r="B203" s="2"/>
      <c r="C203" s="2"/>
      <c r="D203" s="2"/>
    </row>
    <row r="204" spans="1:4">
      <c r="A204" s="40"/>
      <c r="B204" s="2"/>
      <c r="C204" s="2"/>
      <c r="D204" s="2"/>
    </row>
    <row r="205" spans="1:4">
      <c r="A205" s="40"/>
      <c r="B205" s="2"/>
      <c r="C205" s="2"/>
      <c r="D205" s="2"/>
    </row>
    <row r="206" spans="1:4">
      <c r="A206" s="40"/>
      <c r="B206" s="2"/>
      <c r="C206" s="2"/>
      <c r="D206" s="2"/>
    </row>
    <row r="207" spans="1:4">
      <c r="A207" s="40"/>
      <c r="B207" s="2"/>
      <c r="C207" s="2"/>
      <c r="D207" s="2"/>
    </row>
    <row r="208" spans="1:4">
      <c r="A208" s="40"/>
      <c r="B208" s="2"/>
      <c r="C208" s="2"/>
      <c r="D208" s="2"/>
    </row>
    <row r="209" spans="1:4">
      <c r="A209" s="40"/>
      <c r="B209" s="2"/>
      <c r="C209" s="2"/>
      <c r="D209" s="2"/>
    </row>
    <row r="210" spans="1:4">
      <c r="A210" s="40"/>
      <c r="B210" s="2"/>
      <c r="C210" s="2"/>
      <c r="D210" s="2"/>
    </row>
    <row r="211" spans="1:4">
      <c r="A211" s="40"/>
      <c r="B211" s="2"/>
      <c r="C211" s="2"/>
      <c r="D211" s="2"/>
    </row>
    <row r="212" spans="1:4">
      <c r="A212" s="40"/>
      <c r="B212" s="2"/>
      <c r="C212" s="2"/>
      <c r="D212" s="2"/>
    </row>
    <row r="213" spans="1:4">
      <c r="A213" s="40"/>
      <c r="B213" s="2"/>
      <c r="C213" s="2"/>
      <c r="D213" s="2"/>
    </row>
    <row r="214" spans="1:4">
      <c r="A214" s="40"/>
      <c r="B214" s="2"/>
      <c r="C214" s="2"/>
      <c r="D214" s="2"/>
    </row>
    <row r="215" spans="1:4">
      <c r="A215" s="40"/>
      <c r="B215" s="2"/>
      <c r="C215" s="2"/>
      <c r="D215" s="2"/>
    </row>
    <row r="216" spans="1:4">
      <c r="A216" s="40"/>
      <c r="B216" s="2"/>
      <c r="C216" s="2"/>
      <c r="D216" s="2"/>
    </row>
    <row r="217" spans="1:4">
      <c r="A217" s="40"/>
      <c r="B217" s="2"/>
      <c r="C217" s="2"/>
      <c r="D217" s="2"/>
    </row>
    <row r="218" spans="1:4">
      <c r="A218" s="40"/>
      <c r="B218" s="2"/>
      <c r="C218" s="2"/>
      <c r="D218" s="2"/>
    </row>
    <row r="219" spans="1:4">
      <c r="A219" s="40"/>
      <c r="B219" s="2"/>
      <c r="C219" s="2"/>
      <c r="D219" s="2"/>
    </row>
    <row r="220" spans="1:4">
      <c r="A220" s="40"/>
      <c r="B220" s="2"/>
      <c r="C220" s="2"/>
      <c r="D220" s="2"/>
    </row>
    <row r="221" spans="1:4">
      <c r="A221" s="40"/>
      <c r="B221" s="2"/>
      <c r="C221" s="2"/>
      <c r="D221" s="2"/>
    </row>
    <row r="222" spans="1:4">
      <c r="A222" s="40"/>
      <c r="B222" s="2"/>
      <c r="C222" s="2"/>
      <c r="D222" s="2"/>
    </row>
    <row r="223" spans="1:4">
      <c r="A223" s="40"/>
      <c r="B223" s="2"/>
      <c r="C223" s="2"/>
      <c r="D223" s="2"/>
    </row>
    <row r="224" spans="1:4">
      <c r="A224" s="40"/>
      <c r="B224" s="2"/>
      <c r="C224" s="2"/>
      <c r="D224" s="2"/>
    </row>
    <row r="225" spans="1:4">
      <c r="A225" s="40"/>
      <c r="B225" s="2"/>
      <c r="C225" s="2"/>
      <c r="D225" s="2"/>
    </row>
    <row r="226" spans="1:4">
      <c r="A226" s="40"/>
      <c r="B226" s="2"/>
      <c r="C226" s="2"/>
      <c r="D226" s="2"/>
    </row>
    <row r="227" spans="1:4">
      <c r="A227" s="40"/>
      <c r="B227" s="2"/>
      <c r="C227" s="2"/>
      <c r="D227" s="2"/>
    </row>
    <row r="228" spans="1:4">
      <c r="A228" s="40"/>
      <c r="B228" s="2"/>
      <c r="C228" s="2"/>
      <c r="D228" s="2"/>
    </row>
    <row r="229" spans="1:4">
      <c r="A229" s="40"/>
      <c r="B229" s="2"/>
      <c r="C229" s="2"/>
      <c r="D229" s="2"/>
    </row>
    <row r="230" spans="1:4">
      <c r="A230" s="40"/>
      <c r="B230" s="2"/>
      <c r="C230" s="2"/>
      <c r="D230" s="2"/>
    </row>
    <row r="231" spans="1:4">
      <c r="A231" s="40"/>
      <c r="B231" s="2"/>
      <c r="C231" s="2"/>
      <c r="D231" s="2"/>
    </row>
    <row r="232" spans="1:4">
      <c r="A232" s="40"/>
      <c r="B232" s="2"/>
      <c r="C232" s="2"/>
      <c r="D232" s="2"/>
    </row>
    <row r="233" spans="1:4">
      <c r="A233" s="40"/>
      <c r="B233" s="2"/>
      <c r="C233" s="2"/>
      <c r="D233" s="2"/>
    </row>
    <row r="234" spans="1:4">
      <c r="A234" s="40"/>
      <c r="B234" s="2"/>
      <c r="C234" s="2"/>
      <c r="D234" s="2"/>
    </row>
    <row r="235" spans="1:4">
      <c r="A235" s="40"/>
      <c r="B235" s="2"/>
      <c r="C235" s="2"/>
      <c r="D235" s="2"/>
    </row>
    <row r="236" spans="1:4">
      <c r="A236" s="40"/>
      <c r="B236" s="2"/>
      <c r="C236" s="2"/>
      <c r="D236" s="2"/>
    </row>
    <row r="237" spans="1:4">
      <c r="A237" s="40"/>
      <c r="B237" s="2"/>
      <c r="C237" s="2"/>
      <c r="D237" s="2"/>
    </row>
    <row r="238" spans="1:4">
      <c r="A238" s="40"/>
      <c r="B238" s="2"/>
      <c r="C238" s="2"/>
      <c r="D238" s="2"/>
    </row>
    <row r="239" spans="1:4">
      <c r="A239" s="40"/>
      <c r="B239" s="2"/>
      <c r="C239" s="2"/>
      <c r="D239" s="2"/>
    </row>
    <row r="240" spans="1:4">
      <c r="A240" s="40"/>
      <c r="B240" s="2"/>
      <c r="C240" s="2"/>
      <c r="D240" s="2"/>
    </row>
    <row r="241" spans="1:4">
      <c r="A241" s="40"/>
      <c r="B241" s="2"/>
      <c r="C241" s="2"/>
      <c r="D241" s="2"/>
    </row>
    <row r="242" spans="1:4">
      <c r="A242" s="40"/>
      <c r="B242" s="2"/>
      <c r="C242" s="2"/>
      <c r="D242" s="2"/>
    </row>
    <row r="243" spans="1:4">
      <c r="A243" s="40"/>
      <c r="B243" s="2"/>
      <c r="C243" s="2"/>
      <c r="D243" s="2"/>
    </row>
    <row r="244" spans="1:4">
      <c r="A244" s="40"/>
      <c r="B244" s="2"/>
      <c r="C244" s="2"/>
      <c r="D244" s="2"/>
    </row>
    <row r="245" spans="1:4">
      <c r="A245" s="40"/>
      <c r="B245" s="2"/>
      <c r="C245" s="2"/>
      <c r="D245" s="2"/>
    </row>
    <row r="246" spans="1:4">
      <c r="A246" s="40"/>
      <c r="B246" s="2"/>
      <c r="C246" s="2"/>
      <c r="D246" s="2"/>
    </row>
    <row r="247" spans="1:4">
      <c r="A247" s="40"/>
      <c r="B247" s="2"/>
      <c r="C247" s="2"/>
      <c r="D247" s="2"/>
    </row>
    <row r="248" spans="1:4">
      <c r="A248" s="40"/>
      <c r="B248" s="2"/>
      <c r="C248" s="2"/>
      <c r="D248" s="2"/>
    </row>
    <row r="249" spans="1:4">
      <c r="A249" s="40"/>
      <c r="B249" s="2"/>
      <c r="C249" s="2"/>
      <c r="D249" s="2"/>
    </row>
    <row r="250" spans="1:4">
      <c r="A250" s="40"/>
      <c r="B250" s="2"/>
      <c r="C250" s="2"/>
      <c r="D250" s="2"/>
    </row>
    <row r="251" spans="1:4">
      <c r="A251" s="40"/>
      <c r="B251" s="2"/>
      <c r="C251" s="2"/>
      <c r="D251" s="2"/>
    </row>
    <row r="252" spans="1:4">
      <c r="A252" s="40"/>
      <c r="B252" s="2"/>
      <c r="C252" s="2"/>
      <c r="D252" s="2"/>
    </row>
    <row r="253" spans="1:4">
      <c r="A253" s="40"/>
      <c r="B253" s="2"/>
      <c r="C253" s="2"/>
      <c r="D253" s="2"/>
    </row>
    <row r="254" spans="1:4">
      <c r="A254" s="40"/>
      <c r="B254" s="2"/>
      <c r="C254" s="2"/>
      <c r="D254" s="2"/>
    </row>
    <row r="255" spans="1:4">
      <c r="A255" s="40"/>
      <c r="B255" s="2"/>
      <c r="C255" s="2"/>
      <c r="D255" s="2"/>
    </row>
    <row r="256" spans="1:4">
      <c r="A256" s="40"/>
      <c r="B256" s="2"/>
      <c r="C256" s="2"/>
      <c r="D256" s="2"/>
    </row>
    <row r="257" spans="1:4">
      <c r="A257" s="40"/>
      <c r="B257" s="2"/>
      <c r="C257" s="2"/>
      <c r="D257" s="2"/>
    </row>
    <row r="258" spans="1:4">
      <c r="A258" s="40"/>
      <c r="B258" s="2"/>
      <c r="C258" s="2"/>
      <c r="D258" s="2"/>
    </row>
    <row r="259" spans="1:4">
      <c r="A259" s="40"/>
      <c r="B259" s="2"/>
      <c r="C259" s="2"/>
      <c r="D259" s="2"/>
    </row>
    <row r="260" spans="1:4">
      <c r="A260" s="40"/>
      <c r="B260" s="2"/>
      <c r="C260" s="2"/>
      <c r="D260" s="2"/>
    </row>
    <row r="261" spans="1:4">
      <c r="A261" s="40"/>
      <c r="B261" s="2"/>
      <c r="C261" s="2"/>
      <c r="D261" s="2"/>
    </row>
  </sheetData>
  <mergeCells count="7">
    <mergeCell ref="C16:C17"/>
    <mergeCell ref="D16:D17"/>
    <mergeCell ref="C5:D5"/>
    <mergeCell ref="A2:D2"/>
    <mergeCell ref="A3:D3"/>
    <mergeCell ref="A5:A6"/>
    <mergeCell ref="B5:B6"/>
  </mergeCells>
  <printOptions horizontalCentered="1"/>
  <pageMargins left="0" right="0" top="0.74803149606299213" bottom="0" header="0.31496062992125984" footer="0.31496062992125984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405</vt:i4>
      </vt:variant>
      <vt:variant>
        <vt:lpstr>Именованные диапазоны</vt:lpstr>
      </vt:variant>
      <vt:variant>
        <vt:i4>15394</vt:i4>
      </vt:variant>
    </vt:vector>
  </HeadingPairs>
  <TitlesOfParts>
    <vt:vector size="15799" baseType="lpstr">
      <vt:lpstr>Айвазовского д.1</vt:lpstr>
      <vt:lpstr>Айвазовского д.5 к.1</vt:lpstr>
      <vt:lpstr>Ай~ д.6 к.1 стр.п.1-8,18,19</vt:lpstr>
      <vt:lpstr>Вильнюсская д.3 к.1</vt:lpstr>
      <vt:lpstr>Вильнюсская д.4 стр.п.11-18 </vt:lpstr>
      <vt:lpstr>Вильнюсская д.6</vt:lpstr>
      <vt:lpstr>Вильнюсская д.7 к.2</vt:lpstr>
      <vt:lpstr>Вильнюсская д.8 к.2</vt:lpstr>
      <vt:lpstr>Вильнюсская д.13</vt:lpstr>
      <vt:lpstr>Вильнюсская д.15</vt:lpstr>
      <vt:lpstr>Вильнюсская д.17</vt:lpstr>
      <vt:lpstr>Голубинская д.3 к.1</vt:lpstr>
      <vt:lpstr>Голубинская д.7 к.2</vt:lpstr>
      <vt:lpstr>Голубинская д.7 к.5</vt:lpstr>
      <vt:lpstr>Голубинская д.9</vt:lpstr>
      <vt:lpstr>Голубинская д.13 к.1</vt:lpstr>
      <vt:lpstr>Голубинская д.15|10</vt:lpstr>
      <vt:lpstr>Голубинская д.17|9</vt:lpstr>
      <vt:lpstr>Голубинская д.19</vt:lpstr>
      <vt:lpstr>Голубинская д.24 к.1</vt:lpstr>
      <vt:lpstr>Г~ д.25 к.1 стр.п.1-9,16-17 </vt:lpstr>
      <vt:lpstr>Г~ д.25 к.2 стр.п.1-6 ЖСК Осень</vt:lpstr>
      <vt:lpstr>Голубинская д.29 к.1</vt:lpstr>
      <vt:lpstr>Голубинская д.29 к.2</vt:lpstr>
      <vt:lpstr>Голубинская д.32|2</vt:lpstr>
      <vt:lpstr>Инессы Арманд д.3</vt:lpstr>
      <vt:lpstr>И~ д.4 к.1 стр.п.1-10,15-16</vt:lpstr>
      <vt:lpstr>И~ д.4 к.1 стр.п.11-14 ЖСК Лада</vt:lpstr>
      <vt:lpstr>И~д.4 к.2 стр.п.5-13</vt:lpstr>
      <vt:lpstr>Инессы Арманд д.7</vt:lpstr>
      <vt:lpstr>Инессы Арманд д.8|17</vt:lpstr>
      <vt:lpstr>Инессы Арманд д.11</vt:lpstr>
      <vt:lpstr>Карамзина пр-д д.1 к.1</vt:lpstr>
      <vt:lpstr>Кар~ д.1 к.3 стр.п.1-2,7-12</vt:lpstr>
      <vt:lpstr>Ка~ д.1 к.3 стр.п.3-6 ЖСК Омега</vt:lpstr>
      <vt:lpstr>К~ д.1 к.3 стр.п.13-16 ЖСК Лимб</vt:lpstr>
      <vt:lpstr>Карамзина пр-д д.5</vt:lpstr>
      <vt:lpstr>Карамзина пр-д д.13 к.1</vt:lpstr>
      <vt:lpstr>Литовский б-р д.1</vt:lpstr>
      <vt:lpstr> д.3 к.2 стр.п.1-6,12-13,17-25 </vt:lpstr>
      <vt:lpstr>~ д.3 к.2 стр.п.7-11 ЖСК Тайфун</vt:lpstr>
      <vt:lpstr>Литовский б-р д.6 к.1</vt:lpstr>
      <vt:lpstr>Литовский б-р д.6 к.3</vt:lpstr>
      <vt:lpstr>Литовский б-р д.9|7</vt:lpstr>
      <vt:lpstr>Литовский б-р д.10 к.1</vt:lpstr>
      <vt:lpstr>Литовский б-р д.11 к.5</vt:lpstr>
      <vt:lpstr>Литовский б-р д.15 к.1</vt:lpstr>
      <vt:lpstr>Литовский б-р д.15 к.5</vt:lpstr>
      <vt:lpstr>Литовский б~ д.18 стр.п.1-2 </vt:lpstr>
      <vt:lpstr>Лито~ д.26 стр.п.1-4 ЖСК Широта</vt:lpstr>
      <vt:lpstr>Литовский б~ д.26 стр.п.5-6 </vt:lpstr>
      <vt:lpstr>Литовский б-р д.30</vt:lpstr>
      <vt:lpstr>Литовс~ д.34 к.  стр.ЖСК Родник</vt:lpstr>
      <vt:lpstr>Литовский б-р д.42 к.1</vt:lpstr>
      <vt:lpstr>Литовский б-р д.46 к.1</vt:lpstr>
      <vt:lpstr>Литовский б-р д.46 к.2</vt:lpstr>
      <vt:lpstr>Новоясеневский пр-т д.3</vt:lpstr>
      <vt:lpstr>Новоясеневский пр-т д.5 к.1</vt:lpstr>
      <vt:lpstr>Новоясеневский пр-т д.12 к.1</vt:lpstr>
      <vt:lpstr>Новоясеневский пр-т д.13 к.1</vt:lpstr>
      <vt:lpstr>Н~ д.14 к.2 стр.п.5-8 ЖСК Ясень</vt:lpstr>
      <vt:lpstr>Новояс~ д.14 к.2 стр.п.9-10 </vt:lpstr>
      <vt:lpstr>Новоясеневский пр-т д.16 к.1</vt:lpstr>
      <vt:lpstr>Новоясеневский пр-т д.17|50</vt:lpstr>
      <vt:lpstr>Новоясеневский пр-т д.19 к.1</vt:lpstr>
      <vt:lpstr>Новоясеневский пр-т д.19 к.4</vt:lpstr>
      <vt:lpstr>Н~ д.21 к.1 стр.п.1-4 ЖСК Книга</vt:lpstr>
      <vt:lpstr>Новояс~ д.21 к.1 стр.п.5-16 </vt:lpstr>
      <vt:lpstr>Новоясеневский пр-т д.21 к.3</vt:lpstr>
      <vt:lpstr>Новоясеневский пр-т д.22 к.1</vt:lpstr>
      <vt:lpstr>Новоясеневский пр-т д.22 к.3</vt:lpstr>
      <vt:lpstr>Новоясеневский пр-т д.25|20</vt:lpstr>
      <vt:lpstr>Новоясеневский пр-т д.32 к.1</vt:lpstr>
      <vt:lpstr>Н~ д.32 к.3 стр.п.1-6 ЖСК Ясный</vt:lpstr>
      <vt:lpstr>Новояс~ д.32 к.3 стр.п.7-15 </vt:lpstr>
      <vt:lpstr>Новоясеневский пр-т д.38 к.1</vt:lpstr>
      <vt:lpstr>Новоясе~ д.40 к.3 стр.п.1-9 </vt:lpstr>
      <vt:lpstr>~ д.40 к.3 стр.п.10-15 ЖСК Лань</vt:lpstr>
      <vt:lpstr>Одоевского п~ д.3 к.1 стр.п.1-2</vt:lpstr>
      <vt:lpstr>Одоевского п~ д.3 к.2 стр.п.3-4</vt:lpstr>
      <vt:lpstr>Одоевского п~ д.3 к.3 стр.п.5-6</vt:lpstr>
      <vt:lpstr>Одоевского п~ д.3 к.4 стр.п.7-8</vt:lpstr>
      <vt:lpstr>Одоевского ~ д.3 к.5 стр.п.9-10</vt:lpstr>
      <vt:lpstr>Одоевского~ д.3 к.6 стр.п.11-12</vt:lpstr>
      <vt:lpstr>Одоевского пр-д д.3 к.7</vt:lpstr>
      <vt:lpstr>Одоевского п~ д.7 к.1 стр.п.1-2</vt:lpstr>
      <vt:lpstr>Одоевского п~ д.7 к.2 стр.п.3-4</vt:lpstr>
      <vt:lpstr>Одоевского п~ д.7 к.3 стр.п.5-6</vt:lpstr>
      <vt:lpstr>Одоевского п~ д.7 к.4 стр.п.7-8</vt:lpstr>
      <vt:lpstr>Одоевского пр-д д.7 к.7</vt:lpstr>
      <vt:lpstr>Одоевского ~ д.11 к.1 стр.п.1-2</vt:lpstr>
      <vt:lpstr>Одоевского ~ д.11 к.2 стр.п.3-4</vt:lpstr>
      <vt:lpstr>Одоевского ~ д.11 к.3 стр.п.5-6</vt:lpstr>
      <vt:lpstr>Одоевского ~ д.11 к.4 стр.п.7-8</vt:lpstr>
      <vt:lpstr>Одоевского~ д.11 к.5 стр.п.9-10</vt:lpstr>
      <vt:lpstr>Одоевског~ д.11 к.6 стр.п.11-12</vt:lpstr>
      <vt:lpstr>Пау~д.3 стр.п.п.1-2,8-11,17-18</vt:lpstr>
      <vt:lpstr>Пау~ д.3 стр.п.3-7 ЖСК Телетайп</vt:lpstr>
      <vt:lpstr>Паус~ д.3 стр.п.12-16 ЖСК Олимп</vt:lpstr>
      <vt:lpstr>П~ д.4 стр.п.1-2,8-11,17-18 </vt:lpstr>
      <vt:lpstr>Пау~ д.4 стр.п.3-7 ЖСК Вибратор</vt:lpstr>
      <vt:lpstr>П~ д.4 стр.п.12-16 ЖСК Геостром</vt:lpstr>
      <vt:lpstr>Паустовского д.5 к.1</vt:lpstr>
      <vt:lpstr>Пау~ д.8 к.3 стр.п.1-4,9-12 </vt:lpstr>
      <vt:lpstr> д.8 к.3 стр.п.5-8 ЖСК Молния-2</vt:lpstr>
      <vt:lpstr>Рокотова д.1|12</vt:lpstr>
      <vt:lpstr>Рокотова д.2|10</vt:lpstr>
      <vt:lpstr>Рокотова д.3 к.2</vt:lpstr>
      <vt:lpstr>Р~ д.4 к.2 стр.п.1-3 ЖСК Жасмин</vt:lpstr>
      <vt:lpstr>Ро~ д.4 к.2 стр.п.4-5,11-14 </vt:lpstr>
      <vt:lpstr> д.4 к.2 стр.п.6-10 ЖСК Колизей</vt:lpstr>
      <vt:lpstr>Рокотова д.7 к.2</vt:lpstr>
      <vt:lpstr>Ро~ д.8 к.2 стр.п.1-4,11-14 </vt:lpstr>
      <vt:lpstr>Рокотова д.8 к.5</vt:lpstr>
      <vt:lpstr>Соловь~ д.2 стр.п.1-6,14-17 </vt:lpstr>
      <vt:lpstr>Солов~ д.2 стр.п.7-13 ЖСК Пегас</vt:lpstr>
      <vt:lpstr>Соловьин~ д.4 к.1 стр.п.1-2</vt:lpstr>
      <vt:lpstr>Соловьиный пр-д д.6</vt:lpstr>
      <vt:lpstr>Соловьиный пр-д д.8</vt:lpstr>
      <vt:lpstr>Соловьиный~ д.14 стр.п.5-16</vt:lpstr>
      <vt:lpstr>Соловьиный пр-д д.16 к.1</vt:lpstr>
      <vt:lpstr>Соловьиный пр-д д.18</vt:lpstr>
      <vt:lpstr>Тарусская д.14 к.1</vt:lpstr>
      <vt:lpstr>Тарусская д.14 к.2</vt:lpstr>
      <vt:lpstr>Тарусская д.18 к.1</vt:lpstr>
      <vt:lpstr>Тарусская д.18 к.2</vt:lpstr>
      <vt:lpstr>Тарусская д.22 к.2</vt:lpstr>
      <vt:lpstr>Ясногорская д.3</vt:lpstr>
      <vt:lpstr>Ясногорская д.7</vt:lpstr>
      <vt:lpstr>Ясногорская д.13 к.1</vt:lpstr>
      <vt:lpstr>Ясногорская д.13 к.2</vt:lpstr>
      <vt:lpstr>Ясногорская д.17 к.1</vt:lpstr>
      <vt:lpstr>Ясногорская д.17 к.2</vt:lpstr>
      <vt:lpstr>Ясногорская д.21 к.1</vt:lpstr>
      <vt:lpstr>Ясногорская д.21 к.2</vt:lpstr>
      <vt:lpstr>_Filter (135)</vt:lpstr>
      <vt:lpstr>_Essentia (135)</vt:lpstr>
      <vt:lpstr>_Filter (134)</vt:lpstr>
      <vt:lpstr>_Essentia (134)</vt:lpstr>
      <vt:lpstr>_Filter (133)</vt:lpstr>
      <vt:lpstr>_Essentia (133)</vt:lpstr>
      <vt:lpstr>_Filter (132)</vt:lpstr>
      <vt:lpstr>_Essentia (132)</vt:lpstr>
      <vt:lpstr>_Filter (131)</vt:lpstr>
      <vt:lpstr>_Essentia (131)</vt:lpstr>
      <vt:lpstr>_Filter (130)</vt:lpstr>
      <vt:lpstr>_Essentia (130)</vt:lpstr>
      <vt:lpstr>_Filter (129)</vt:lpstr>
      <vt:lpstr>_Essentia (129)</vt:lpstr>
      <vt:lpstr>_Filter (128)</vt:lpstr>
      <vt:lpstr>_Essentia (128)</vt:lpstr>
      <vt:lpstr>_Filter (127)</vt:lpstr>
      <vt:lpstr>_Essentia (127)</vt:lpstr>
      <vt:lpstr>_Filter (126)</vt:lpstr>
      <vt:lpstr>_Essentia (126)</vt:lpstr>
      <vt:lpstr>_Filter (125)</vt:lpstr>
      <vt:lpstr>_Essentia (125)</vt:lpstr>
      <vt:lpstr>_Filter (124)</vt:lpstr>
      <vt:lpstr>_Essentia (124)</vt:lpstr>
      <vt:lpstr>_Filter (123)</vt:lpstr>
      <vt:lpstr>_Essentia (123)</vt:lpstr>
      <vt:lpstr>_Filter (122)</vt:lpstr>
      <vt:lpstr>_Essentia (122)</vt:lpstr>
      <vt:lpstr>_Filter (121)</vt:lpstr>
      <vt:lpstr>_Essentia (121)</vt:lpstr>
      <vt:lpstr>_Filter (120)</vt:lpstr>
      <vt:lpstr>_Essentia (120)</vt:lpstr>
      <vt:lpstr>_Filter (119)</vt:lpstr>
      <vt:lpstr>_Essentia (119)</vt:lpstr>
      <vt:lpstr>_Filter (118)</vt:lpstr>
      <vt:lpstr>_Essentia (118)</vt:lpstr>
      <vt:lpstr>_Filter (117)</vt:lpstr>
      <vt:lpstr>_Essentia (117)</vt:lpstr>
      <vt:lpstr>_Filter (116)</vt:lpstr>
      <vt:lpstr>_Essentia (116)</vt:lpstr>
      <vt:lpstr>_Filter (115)</vt:lpstr>
      <vt:lpstr>_Essentia (115)</vt:lpstr>
      <vt:lpstr>_Filter (114)</vt:lpstr>
      <vt:lpstr>_Essentia (114)</vt:lpstr>
      <vt:lpstr>_Filter (113)</vt:lpstr>
      <vt:lpstr>_Essentia (113)</vt:lpstr>
      <vt:lpstr>_Filter (112)</vt:lpstr>
      <vt:lpstr>_Essentia (112)</vt:lpstr>
      <vt:lpstr>_Filter (111)</vt:lpstr>
      <vt:lpstr>_Essentia (111)</vt:lpstr>
      <vt:lpstr>_Filter (110)</vt:lpstr>
      <vt:lpstr>_Essentia (110)</vt:lpstr>
      <vt:lpstr>_Filter (109)</vt:lpstr>
      <vt:lpstr>_Essentia (109)</vt:lpstr>
      <vt:lpstr>_Filter (108)</vt:lpstr>
      <vt:lpstr>_Essentia (108)</vt:lpstr>
      <vt:lpstr>_Filter (107)</vt:lpstr>
      <vt:lpstr>_Essentia (107)</vt:lpstr>
      <vt:lpstr>_Filter (106)</vt:lpstr>
      <vt:lpstr>_Essentia (106)</vt:lpstr>
      <vt:lpstr>_Filter (105)</vt:lpstr>
      <vt:lpstr>_Essentia (105)</vt:lpstr>
      <vt:lpstr>_Filter (104)</vt:lpstr>
      <vt:lpstr>_Essentia (104)</vt:lpstr>
      <vt:lpstr>_Filter (103)</vt:lpstr>
      <vt:lpstr>_Essentia (103)</vt:lpstr>
      <vt:lpstr>_Filter (102)</vt:lpstr>
      <vt:lpstr>_Essentia (102)</vt:lpstr>
      <vt:lpstr>_Filter (101)</vt:lpstr>
      <vt:lpstr>_Essentia (101)</vt:lpstr>
      <vt:lpstr>_Filter (100)</vt:lpstr>
      <vt:lpstr>_Essentia (100)</vt:lpstr>
      <vt:lpstr>_Filter (99)</vt:lpstr>
      <vt:lpstr>_Essentia (99)</vt:lpstr>
      <vt:lpstr>_Filter (98)</vt:lpstr>
      <vt:lpstr>_Essentia (98)</vt:lpstr>
      <vt:lpstr>_Filter (97)</vt:lpstr>
      <vt:lpstr>_Essentia (97)</vt:lpstr>
      <vt:lpstr>_Filter (96)</vt:lpstr>
      <vt:lpstr>_Essentia (96)</vt:lpstr>
      <vt:lpstr>_Filter (95)</vt:lpstr>
      <vt:lpstr>_Essentia (95)</vt:lpstr>
      <vt:lpstr>_Filter (94)</vt:lpstr>
      <vt:lpstr>_Essentia (94)</vt:lpstr>
      <vt:lpstr>_Filter (93)</vt:lpstr>
      <vt:lpstr>_Essentia (93)</vt:lpstr>
      <vt:lpstr>_Filter (92)</vt:lpstr>
      <vt:lpstr>_Essentia (92)</vt:lpstr>
      <vt:lpstr>_Filter (91)</vt:lpstr>
      <vt:lpstr>_Essentia (91)</vt:lpstr>
      <vt:lpstr>_Filter (90)</vt:lpstr>
      <vt:lpstr>_Essentia (90)</vt:lpstr>
      <vt:lpstr>_Filter (89)</vt:lpstr>
      <vt:lpstr>_Essentia (89)</vt:lpstr>
      <vt:lpstr>_Filter (88)</vt:lpstr>
      <vt:lpstr>_Essentia (88)</vt:lpstr>
      <vt:lpstr>_Filter (87)</vt:lpstr>
      <vt:lpstr>_Essentia (87)</vt:lpstr>
      <vt:lpstr>_Filter (86)</vt:lpstr>
      <vt:lpstr>_Essentia (86)</vt:lpstr>
      <vt:lpstr>_Filter (85)</vt:lpstr>
      <vt:lpstr>_Essentia (85)</vt:lpstr>
      <vt:lpstr>_Filter (84)</vt:lpstr>
      <vt:lpstr>_Essentia (84)</vt:lpstr>
      <vt:lpstr>_Filter (83)</vt:lpstr>
      <vt:lpstr>_Essentia (83)</vt:lpstr>
      <vt:lpstr>_Filter (82)</vt:lpstr>
      <vt:lpstr>_Essentia (82)</vt:lpstr>
      <vt:lpstr>_Filter (81)</vt:lpstr>
      <vt:lpstr>_Essentia (81)</vt:lpstr>
      <vt:lpstr>_Filter (80)</vt:lpstr>
      <vt:lpstr>_Essentia (80)</vt:lpstr>
      <vt:lpstr>_Filter (79)</vt:lpstr>
      <vt:lpstr>_Essentia (79)</vt:lpstr>
      <vt:lpstr>_Filter (78)</vt:lpstr>
      <vt:lpstr>_Essentia (78)</vt:lpstr>
      <vt:lpstr>_Filter (77)</vt:lpstr>
      <vt:lpstr>_Essentia (77)</vt:lpstr>
      <vt:lpstr>_Filter (76)</vt:lpstr>
      <vt:lpstr>_Essentia (76)</vt:lpstr>
      <vt:lpstr>_Filter (75)</vt:lpstr>
      <vt:lpstr>_Essentia (75)</vt:lpstr>
      <vt:lpstr>_Filter (74)</vt:lpstr>
      <vt:lpstr>_Essentia (74)</vt:lpstr>
      <vt:lpstr>_Filter (73)</vt:lpstr>
      <vt:lpstr>_Essentia (73)</vt:lpstr>
      <vt:lpstr>_Filter (72)</vt:lpstr>
      <vt:lpstr>_Essentia (72)</vt:lpstr>
      <vt:lpstr>_Filter (71)</vt:lpstr>
      <vt:lpstr>_Essentia (71)</vt:lpstr>
      <vt:lpstr>_Filter (70)</vt:lpstr>
      <vt:lpstr>_Essentia (70)</vt:lpstr>
      <vt:lpstr>_Filter (69)</vt:lpstr>
      <vt:lpstr>_Essentia (69)</vt:lpstr>
      <vt:lpstr>_Filter (68)</vt:lpstr>
      <vt:lpstr>_Essentia (68)</vt:lpstr>
      <vt:lpstr>_Filter (67)</vt:lpstr>
      <vt:lpstr>_Essentia (67)</vt:lpstr>
      <vt:lpstr>_Filter (66)</vt:lpstr>
      <vt:lpstr>_Essentia (66)</vt:lpstr>
      <vt:lpstr>_Filter (65)</vt:lpstr>
      <vt:lpstr>_Essentia (65)</vt:lpstr>
      <vt:lpstr>_Filter (64)</vt:lpstr>
      <vt:lpstr>_Essentia (64)</vt:lpstr>
      <vt:lpstr>_Filter (63)</vt:lpstr>
      <vt:lpstr>_Essentia (63)</vt:lpstr>
      <vt:lpstr>_Filter (62)</vt:lpstr>
      <vt:lpstr>_Essentia (62)</vt:lpstr>
      <vt:lpstr>_Filter (61)</vt:lpstr>
      <vt:lpstr>_Essentia (61)</vt:lpstr>
      <vt:lpstr>_Filter (60)</vt:lpstr>
      <vt:lpstr>_Essentia (60)</vt:lpstr>
      <vt:lpstr>_Filter (59)</vt:lpstr>
      <vt:lpstr>_Essentia (59)</vt:lpstr>
      <vt:lpstr>_Filter (58)</vt:lpstr>
      <vt:lpstr>_Essentia (58)</vt:lpstr>
      <vt:lpstr>_Filter (57)</vt:lpstr>
      <vt:lpstr>_Essentia (57)</vt:lpstr>
      <vt:lpstr>_Filter (56)</vt:lpstr>
      <vt:lpstr>_Essentia (56)</vt:lpstr>
      <vt:lpstr>_Filter (55)</vt:lpstr>
      <vt:lpstr>_Essentia (55)</vt:lpstr>
      <vt:lpstr>_Filter (54)</vt:lpstr>
      <vt:lpstr>_Essentia (54)</vt:lpstr>
      <vt:lpstr>_Filter (53)</vt:lpstr>
      <vt:lpstr>_Essentia (53)</vt:lpstr>
      <vt:lpstr>_Filter (52)</vt:lpstr>
      <vt:lpstr>_Essentia (52)</vt:lpstr>
      <vt:lpstr>_Filter (51)</vt:lpstr>
      <vt:lpstr>_Essentia (51)</vt:lpstr>
      <vt:lpstr>_Filter (50)</vt:lpstr>
      <vt:lpstr>_Essentia (50)</vt:lpstr>
      <vt:lpstr>_Filter (49)</vt:lpstr>
      <vt:lpstr>_Essentia (49)</vt:lpstr>
      <vt:lpstr>_Filter (48)</vt:lpstr>
      <vt:lpstr>_Essentia (48)</vt:lpstr>
      <vt:lpstr>_Filter (47)</vt:lpstr>
      <vt:lpstr>_Essentia (47)</vt:lpstr>
      <vt:lpstr>_Filter (46)</vt:lpstr>
      <vt:lpstr>_Essentia (46)</vt:lpstr>
      <vt:lpstr>_Filter (45)</vt:lpstr>
      <vt:lpstr>_Essentia (45)</vt:lpstr>
      <vt:lpstr>_Filter (44)</vt:lpstr>
      <vt:lpstr>_Essentia (44)</vt:lpstr>
      <vt:lpstr>_Filter (43)</vt:lpstr>
      <vt:lpstr>_Essentia (43)</vt:lpstr>
      <vt:lpstr>_Filter (42)</vt:lpstr>
      <vt:lpstr>_Essentia (42)</vt:lpstr>
      <vt:lpstr>_Filter (41)</vt:lpstr>
      <vt:lpstr>_Essentia (41)</vt:lpstr>
      <vt:lpstr>_Filter (40)</vt:lpstr>
      <vt:lpstr>_Essentia (40)</vt:lpstr>
      <vt:lpstr>_Filter (39)</vt:lpstr>
      <vt:lpstr>_Essentia (39)</vt:lpstr>
      <vt:lpstr>_Filter (38)</vt:lpstr>
      <vt:lpstr>_Essentia (38)</vt:lpstr>
      <vt:lpstr>_Filter (37)</vt:lpstr>
      <vt:lpstr>_Essentia (37)</vt:lpstr>
      <vt:lpstr>_Filter (36)</vt:lpstr>
      <vt:lpstr>_Essentia (36)</vt:lpstr>
      <vt:lpstr>_Filter (35)</vt:lpstr>
      <vt:lpstr>_Essentia (35)</vt:lpstr>
      <vt:lpstr>_Filter (34)</vt:lpstr>
      <vt:lpstr>_Essentia (34)</vt:lpstr>
      <vt:lpstr>_Filter (33)</vt:lpstr>
      <vt:lpstr>_Essentia (33)</vt:lpstr>
      <vt:lpstr>_Filter (32)</vt:lpstr>
      <vt:lpstr>_Essentia (32)</vt:lpstr>
      <vt:lpstr>_Filter (31)</vt:lpstr>
      <vt:lpstr>_Essentia (31)</vt:lpstr>
      <vt:lpstr>_Filter (30)</vt:lpstr>
      <vt:lpstr>_Essentia (30)</vt:lpstr>
      <vt:lpstr>_Filter (29)</vt:lpstr>
      <vt:lpstr>_Essentia (29)</vt:lpstr>
      <vt:lpstr>_Filter (28)</vt:lpstr>
      <vt:lpstr>_Essentia (28)</vt:lpstr>
      <vt:lpstr>_Filter (27)</vt:lpstr>
      <vt:lpstr>_Essentia (27)</vt:lpstr>
      <vt:lpstr>_Filter (26)</vt:lpstr>
      <vt:lpstr>_Essentia (26)</vt:lpstr>
      <vt:lpstr>_Filter (25)</vt:lpstr>
      <vt:lpstr>_Essentia (25)</vt:lpstr>
      <vt:lpstr>_Filter (24)</vt:lpstr>
      <vt:lpstr>_Essentia (24)</vt:lpstr>
      <vt:lpstr>_Filter (23)</vt:lpstr>
      <vt:lpstr>_Essentia (23)</vt:lpstr>
      <vt:lpstr>_Filter (22)</vt:lpstr>
      <vt:lpstr>_Essentia (22)</vt:lpstr>
      <vt:lpstr>_Filter (21)</vt:lpstr>
      <vt:lpstr>_Essentia (21)</vt:lpstr>
      <vt:lpstr>_Filter (20)</vt:lpstr>
      <vt:lpstr>_Essentia (20)</vt:lpstr>
      <vt:lpstr>_Filter (19)</vt:lpstr>
      <vt:lpstr>_Essentia (19)</vt:lpstr>
      <vt:lpstr>_Filter (18)</vt:lpstr>
      <vt:lpstr>_Essentia (18)</vt:lpstr>
      <vt:lpstr>_Filter (17)</vt:lpstr>
      <vt:lpstr>_Essentia (17)</vt:lpstr>
      <vt:lpstr>_Filter (16)</vt:lpstr>
      <vt:lpstr>_Essentia (16)</vt:lpstr>
      <vt:lpstr>_Filter (15)</vt:lpstr>
      <vt:lpstr>_Essentia (15)</vt:lpstr>
      <vt:lpstr>_Filter (14)</vt:lpstr>
      <vt:lpstr>_Essentia (14)</vt:lpstr>
      <vt:lpstr>_Filter (13)</vt:lpstr>
      <vt:lpstr>_Essentia (13)</vt:lpstr>
      <vt:lpstr>_Filter (12)</vt:lpstr>
      <vt:lpstr>_Essentia (12)</vt:lpstr>
      <vt:lpstr>_Filter (11)</vt:lpstr>
      <vt:lpstr>_Essentia (11)</vt:lpstr>
      <vt:lpstr>_Filter (10)</vt:lpstr>
      <vt:lpstr>_Essentia (10)</vt:lpstr>
      <vt:lpstr>_Filter (9)</vt:lpstr>
      <vt:lpstr>_Essentia (9)</vt:lpstr>
      <vt:lpstr>_Filter (8)</vt:lpstr>
      <vt:lpstr>_Essentia (8)</vt:lpstr>
      <vt:lpstr>_Filter (7)</vt:lpstr>
      <vt:lpstr>_Essentia (7)</vt:lpstr>
      <vt:lpstr>_Filter (6)</vt:lpstr>
      <vt:lpstr>_Essentia (6)</vt:lpstr>
      <vt:lpstr>_Filter (5)</vt:lpstr>
      <vt:lpstr>_Essentia (5)</vt:lpstr>
      <vt:lpstr>_Filter (4)</vt:lpstr>
      <vt:lpstr>_Essentia (4)</vt:lpstr>
      <vt:lpstr>_Filter (3)</vt:lpstr>
      <vt:lpstr>_Essentia (3)</vt:lpstr>
      <vt:lpstr>_Filter (2)</vt:lpstr>
      <vt:lpstr>_Essentia (2)</vt:lpstr>
      <vt:lpstr>_Essentia</vt:lpstr>
      <vt:lpstr>_Filter</vt:lpstr>
      <vt:lpstr>_100h_E10</vt:lpstr>
      <vt:lpstr>_100h_E11</vt:lpstr>
      <vt:lpstr>_100h_E12</vt:lpstr>
      <vt:lpstr>_100h_E13</vt:lpstr>
      <vt:lpstr>_100h_E14</vt:lpstr>
      <vt:lpstr>_100h_E15</vt:lpstr>
      <vt:lpstr>_100h_E16</vt:lpstr>
      <vt:lpstr>_100h_E17</vt:lpstr>
      <vt:lpstr>_100h_E18</vt:lpstr>
      <vt:lpstr>_100h_E19</vt:lpstr>
      <vt:lpstr>_100h_E20</vt:lpstr>
      <vt:lpstr>_100h_E21</vt:lpstr>
      <vt:lpstr>_100h_E22</vt:lpstr>
      <vt:lpstr>_100h_E23</vt:lpstr>
      <vt:lpstr>_100h_E24</vt:lpstr>
      <vt:lpstr>_100h_E25</vt:lpstr>
      <vt:lpstr>_100h_E26</vt:lpstr>
      <vt:lpstr>_100h_E27</vt:lpstr>
      <vt:lpstr>_100h_E28</vt:lpstr>
      <vt:lpstr>_100h_E29</vt:lpstr>
      <vt:lpstr>_100h_E30</vt:lpstr>
      <vt:lpstr>_100h_E31</vt:lpstr>
      <vt:lpstr>_100h_E32</vt:lpstr>
      <vt:lpstr>_100h_E33</vt:lpstr>
      <vt:lpstr>_100h_E34</vt:lpstr>
      <vt:lpstr>_100h_E35</vt:lpstr>
      <vt:lpstr>_100h_E36</vt:lpstr>
      <vt:lpstr>_100h_E37</vt:lpstr>
      <vt:lpstr>_100h_E38</vt:lpstr>
      <vt:lpstr>_100h_E39</vt:lpstr>
      <vt:lpstr>_100h_E40</vt:lpstr>
      <vt:lpstr>_100h_E41</vt:lpstr>
      <vt:lpstr>_100h_E42</vt:lpstr>
      <vt:lpstr>_100h_E43</vt:lpstr>
      <vt:lpstr>_100h_E44</vt:lpstr>
      <vt:lpstr>_100h_E45</vt:lpstr>
      <vt:lpstr>_100h_E46</vt:lpstr>
      <vt:lpstr>_100h_E47</vt:lpstr>
      <vt:lpstr>_100h_E48</vt:lpstr>
      <vt:lpstr>_100h_E49</vt:lpstr>
      <vt:lpstr>_100h_E50</vt:lpstr>
      <vt:lpstr>_100h_E51</vt:lpstr>
      <vt:lpstr>_100h_E53</vt:lpstr>
      <vt:lpstr>_100h_E54</vt:lpstr>
      <vt:lpstr>_100h_E55</vt:lpstr>
      <vt:lpstr>_100h_E56</vt:lpstr>
      <vt:lpstr>_100h_E57</vt:lpstr>
      <vt:lpstr>_100h_E58</vt:lpstr>
      <vt:lpstr>_100h_E59</vt:lpstr>
      <vt:lpstr>_100h_E60</vt:lpstr>
      <vt:lpstr>_100h_E61</vt:lpstr>
      <vt:lpstr>_100h_E62</vt:lpstr>
      <vt:lpstr>_100h_E64</vt:lpstr>
      <vt:lpstr>_100h_E65</vt:lpstr>
      <vt:lpstr>_100h_E7</vt:lpstr>
      <vt:lpstr>_100h_E8</vt:lpstr>
      <vt:lpstr>_100h_E9</vt:lpstr>
      <vt:lpstr>_100h_F10</vt:lpstr>
      <vt:lpstr>_100h_F11</vt:lpstr>
      <vt:lpstr>_100h_F12</vt:lpstr>
      <vt:lpstr>_100h_F13</vt:lpstr>
      <vt:lpstr>_100h_F14</vt:lpstr>
      <vt:lpstr>_100h_F15</vt:lpstr>
      <vt:lpstr>_100h_F16</vt:lpstr>
      <vt:lpstr>_100h_F17</vt:lpstr>
      <vt:lpstr>_100h_F18</vt:lpstr>
      <vt:lpstr>_100h_F19</vt:lpstr>
      <vt:lpstr>_100h_F20</vt:lpstr>
      <vt:lpstr>_100h_F21</vt:lpstr>
      <vt:lpstr>_100h_F22</vt:lpstr>
      <vt:lpstr>_100h_F23</vt:lpstr>
      <vt:lpstr>_100h_F24</vt:lpstr>
      <vt:lpstr>_100h_F25</vt:lpstr>
      <vt:lpstr>_100h_F26</vt:lpstr>
      <vt:lpstr>_100h_F27</vt:lpstr>
      <vt:lpstr>_100h_F28</vt:lpstr>
      <vt:lpstr>_100h_F29</vt:lpstr>
      <vt:lpstr>_100h_F30</vt:lpstr>
      <vt:lpstr>_100h_F31</vt:lpstr>
      <vt:lpstr>_100h_F32</vt:lpstr>
      <vt:lpstr>_100h_F33</vt:lpstr>
      <vt:lpstr>_100h_F34</vt:lpstr>
      <vt:lpstr>_100h_F35</vt:lpstr>
      <vt:lpstr>_100h_F36</vt:lpstr>
      <vt:lpstr>_100h_F37</vt:lpstr>
      <vt:lpstr>_100h_F38</vt:lpstr>
      <vt:lpstr>_100h_F39</vt:lpstr>
      <vt:lpstr>_100h_F40</vt:lpstr>
      <vt:lpstr>_100h_F41</vt:lpstr>
      <vt:lpstr>_100h_F42</vt:lpstr>
      <vt:lpstr>_100h_F43</vt:lpstr>
      <vt:lpstr>_100h_F44</vt:lpstr>
      <vt:lpstr>_100h_F45</vt:lpstr>
      <vt:lpstr>_100h_F46</vt:lpstr>
      <vt:lpstr>_100h_F47</vt:lpstr>
      <vt:lpstr>_100h_F48</vt:lpstr>
      <vt:lpstr>_100h_F49</vt:lpstr>
      <vt:lpstr>_100h_F50</vt:lpstr>
      <vt:lpstr>_100h_F51</vt:lpstr>
      <vt:lpstr>_100h_F53</vt:lpstr>
      <vt:lpstr>_100h_F54</vt:lpstr>
      <vt:lpstr>_100h_F55</vt:lpstr>
      <vt:lpstr>_100h_F56</vt:lpstr>
      <vt:lpstr>_100h_F57</vt:lpstr>
      <vt:lpstr>_100h_F58</vt:lpstr>
      <vt:lpstr>_100h_F59</vt:lpstr>
      <vt:lpstr>_100h_F60</vt:lpstr>
      <vt:lpstr>_100h_F61</vt:lpstr>
      <vt:lpstr>_100h_F62</vt:lpstr>
      <vt:lpstr>_100h_F64</vt:lpstr>
      <vt:lpstr>_100h_F65</vt:lpstr>
      <vt:lpstr>_100h_F7</vt:lpstr>
      <vt:lpstr>_100h_F8</vt:lpstr>
      <vt:lpstr>_100h_F9</vt:lpstr>
      <vt:lpstr>_101h_E10</vt:lpstr>
      <vt:lpstr>_101h_E11</vt:lpstr>
      <vt:lpstr>_101h_E12</vt:lpstr>
      <vt:lpstr>_101h_E13</vt:lpstr>
      <vt:lpstr>_101h_E14</vt:lpstr>
      <vt:lpstr>_101h_E15</vt:lpstr>
      <vt:lpstr>_101h_E16</vt:lpstr>
      <vt:lpstr>_101h_E17</vt:lpstr>
      <vt:lpstr>_101h_E18</vt:lpstr>
      <vt:lpstr>_101h_E19</vt:lpstr>
      <vt:lpstr>_101h_E20</vt:lpstr>
      <vt:lpstr>_101h_E21</vt:lpstr>
      <vt:lpstr>_101h_E22</vt:lpstr>
      <vt:lpstr>_101h_E23</vt:lpstr>
      <vt:lpstr>_101h_E24</vt:lpstr>
      <vt:lpstr>_101h_E25</vt:lpstr>
      <vt:lpstr>_101h_E26</vt:lpstr>
      <vt:lpstr>_101h_E27</vt:lpstr>
      <vt:lpstr>_101h_E28</vt:lpstr>
      <vt:lpstr>_101h_E29</vt:lpstr>
      <vt:lpstr>_101h_E30</vt:lpstr>
      <vt:lpstr>_101h_E31</vt:lpstr>
      <vt:lpstr>_101h_E32</vt:lpstr>
      <vt:lpstr>_101h_E33</vt:lpstr>
      <vt:lpstr>_101h_E34</vt:lpstr>
      <vt:lpstr>_101h_E35</vt:lpstr>
      <vt:lpstr>_101h_E36</vt:lpstr>
      <vt:lpstr>_101h_E37</vt:lpstr>
      <vt:lpstr>_101h_E38</vt:lpstr>
      <vt:lpstr>_101h_E39</vt:lpstr>
      <vt:lpstr>_101h_E40</vt:lpstr>
      <vt:lpstr>_101h_E41</vt:lpstr>
      <vt:lpstr>_101h_E42</vt:lpstr>
      <vt:lpstr>_101h_E43</vt:lpstr>
      <vt:lpstr>_101h_E44</vt:lpstr>
      <vt:lpstr>_101h_E45</vt:lpstr>
      <vt:lpstr>_101h_E46</vt:lpstr>
      <vt:lpstr>_101h_E47</vt:lpstr>
      <vt:lpstr>_101h_E48</vt:lpstr>
      <vt:lpstr>_101h_E49</vt:lpstr>
      <vt:lpstr>_101h_E50</vt:lpstr>
      <vt:lpstr>_101h_E51</vt:lpstr>
      <vt:lpstr>_101h_E53</vt:lpstr>
      <vt:lpstr>_101h_E54</vt:lpstr>
      <vt:lpstr>_101h_E55</vt:lpstr>
      <vt:lpstr>_101h_E56</vt:lpstr>
      <vt:lpstr>_101h_E57</vt:lpstr>
      <vt:lpstr>_101h_E58</vt:lpstr>
      <vt:lpstr>_101h_E59</vt:lpstr>
      <vt:lpstr>_101h_E60</vt:lpstr>
      <vt:lpstr>_101h_E61</vt:lpstr>
      <vt:lpstr>_101h_E62</vt:lpstr>
      <vt:lpstr>_101h_E64</vt:lpstr>
      <vt:lpstr>_101h_E65</vt:lpstr>
      <vt:lpstr>_101h_E7</vt:lpstr>
      <vt:lpstr>_101h_E8</vt:lpstr>
      <vt:lpstr>_101h_E9</vt:lpstr>
      <vt:lpstr>_101h_F10</vt:lpstr>
      <vt:lpstr>_101h_F11</vt:lpstr>
      <vt:lpstr>_101h_F12</vt:lpstr>
      <vt:lpstr>_101h_F13</vt:lpstr>
      <vt:lpstr>_101h_F14</vt:lpstr>
      <vt:lpstr>_101h_F15</vt:lpstr>
      <vt:lpstr>_101h_F16</vt:lpstr>
      <vt:lpstr>_101h_F17</vt:lpstr>
      <vt:lpstr>_101h_F18</vt:lpstr>
      <vt:lpstr>_101h_F19</vt:lpstr>
      <vt:lpstr>_101h_F20</vt:lpstr>
      <vt:lpstr>_101h_F21</vt:lpstr>
      <vt:lpstr>_101h_F22</vt:lpstr>
      <vt:lpstr>_101h_F23</vt:lpstr>
      <vt:lpstr>_101h_F24</vt:lpstr>
      <vt:lpstr>_101h_F25</vt:lpstr>
      <vt:lpstr>_101h_F26</vt:lpstr>
      <vt:lpstr>_101h_F27</vt:lpstr>
      <vt:lpstr>_101h_F28</vt:lpstr>
      <vt:lpstr>_101h_F29</vt:lpstr>
      <vt:lpstr>_101h_F30</vt:lpstr>
      <vt:lpstr>_101h_F31</vt:lpstr>
      <vt:lpstr>_101h_F32</vt:lpstr>
      <vt:lpstr>_101h_F33</vt:lpstr>
      <vt:lpstr>_101h_F34</vt:lpstr>
      <vt:lpstr>_101h_F35</vt:lpstr>
      <vt:lpstr>_101h_F36</vt:lpstr>
      <vt:lpstr>_101h_F37</vt:lpstr>
      <vt:lpstr>_101h_F38</vt:lpstr>
      <vt:lpstr>_101h_F39</vt:lpstr>
      <vt:lpstr>_101h_F40</vt:lpstr>
      <vt:lpstr>_101h_F41</vt:lpstr>
      <vt:lpstr>_101h_F42</vt:lpstr>
      <vt:lpstr>_101h_F43</vt:lpstr>
      <vt:lpstr>_101h_F44</vt:lpstr>
      <vt:lpstr>_101h_F45</vt:lpstr>
      <vt:lpstr>_101h_F46</vt:lpstr>
      <vt:lpstr>_101h_F47</vt:lpstr>
      <vt:lpstr>_101h_F48</vt:lpstr>
      <vt:lpstr>_101h_F49</vt:lpstr>
      <vt:lpstr>_101h_F50</vt:lpstr>
      <vt:lpstr>_101h_F51</vt:lpstr>
      <vt:lpstr>_101h_F53</vt:lpstr>
      <vt:lpstr>_101h_F54</vt:lpstr>
      <vt:lpstr>_101h_F55</vt:lpstr>
      <vt:lpstr>_101h_F56</vt:lpstr>
      <vt:lpstr>_101h_F57</vt:lpstr>
      <vt:lpstr>_101h_F58</vt:lpstr>
      <vt:lpstr>_101h_F59</vt:lpstr>
      <vt:lpstr>_101h_F60</vt:lpstr>
      <vt:lpstr>_101h_F61</vt:lpstr>
      <vt:lpstr>_101h_F62</vt:lpstr>
      <vt:lpstr>_101h_F64</vt:lpstr>
      <vt:lpstr>_101h_F65</vt:lpstr>
      <vt:lpstr>_101h_F7</vt:lpstr>
      <vt:lpstr>_101h_F8</vt:lpstr>
      <vt:lpstr>_101h_F9</vt:lpstr>
      <vt:lpstr>_102h_E10</vt:lpstr>
      <vt:lpstr>_102h_E11</vt:lpstr>
      <vt:lpstr>_102h_E12</vt:lpstr>
      <vt:lpstr>_102h_E13</vt:lpstr>
      <vt:lpstr>_102h_E14</vt:lpstr>
      <vt:lpstr>_102h_E15</vt:lpstr>
      <vt:lpstr>_102h_E16</vt:lpstr>
      <vt:lpstr>_102h_E17</vt:lpstr>
      <vt:lpstr>_102h_E18</vt:lpstr>
      <vt:lpstr>_102h_E19</vt:lpstr>
      <vt:lpstr>_102h_E20</vt:lpstr>
      <vt:lpstr>_102h_E21</vt:lpstr>
      <vt:lpstr>_102h_E22</vt:lpstr>
      <vt:lpstr>_102h_E23</vt:lpstr>
      <vt:lpstr>_102h_E24</vt:lpstr>
      <vt:lpstr>_102h_E25</vt:lpstr>
      <vt:lpstr>_102h_E26</vt:lpstr>
      <vt:lpstr>_102h_E27</vt:lpstr>
      <vt:lpstr>_102h_E28</vt:lpstr>
      <vt:lpstr>_102h_E29</vt:lpstr>
      <vt:lpstr>_102h_E30</vt:lpstr>
      <vt:lpstr>_102h_E31</vt:lpstr>
      <vt:lpstr>_102h_E32</vt:lpstr>
      <vt:lpstr>_102h_E33</vt:lpstr>
      <vt:lpstr>_102h_E34</vt:lpstr>
      <vt:lpstr>_102h_E35</vt:lpstr>
      <vt:lpstr>_102h_E36</vt:lpstr>
      <vt:lpstr>_102h_E37</vt:lpstr>
      <vt:lpstr>_102h_E38</vt:lpstr>
      <vt:lpstr>_102h_E39</vt:lpstr>
      <vt:lpstr>_102h_E40</vt:lpstr>
      <vt:lpstr>_102h_E41</vt:lpstr>
      <vt:lpstr>_102h_E42</vt:lpstr>
      <vt:lpstr>_102h_E43</vt:lpstr>
      <vt:lpstr>_102h_E44</vt:lpstr>
      <vt:lpstr>_102h_E45</vt:lpstr>
      <vt:lpstr>_102h_E46</vt:lpstr>
      <vt:lpstr>_102h_E47</vt:lpstr>
      <vt:lpstr>_102h_E48</vt:lpstr>
      <vt:lpstr>_102h_E49</vt:lpstr>
      <vt:lpstr>_102h_E50</vt:lpstr>
      <vt:lpstr>_102h_E51</vt:lpstr>
      <vt:lpstr>_102h_E53</vt:lpstr>
      <vt:lpstr>_102h_E54</vt:lpstr>
      <vt:lpstr>_102h_E55</vt:lpstr>
      <vt:lpstr>_102h_E56</vt:lpstr>
      <vt:lpstr>_102h_E57</vt:lpstr>
      <vt:lpstr>_102h_E58</vt:lpstr>
      <vt:lpstr>_102h_E59</vt:lpstr>
      <vt:lpstr>_102h_E60</vt:lpstr>
      <vt:lpstr>_102h_E61</vt:lpstr>
      <vt:lpstr>_102h_E62</vt:lpstr>
      <vt:lpstr>_102h_E64</vt:lpstr>
      <vt:lpstr>_102h_E65</vt:lpstr>
      <vt:lpstr>_102h_E7</vt:lpstr>
      <vt:lpstr>_102h_E8</vt:lpstr>
      <vt:lpstr>_102h_E9</vt:lpstr>
      <vt:lpstr>_102h_F10</vt:lpstr>
      <vt:lpstr>_102h_F11</vt:lpstr>
      <vt:lpstr>_102h_F12</vt:lpstr>
      <vt:lpstr>_102h_F13</vt:lpstr>
      <vt:lpstr>_102h_F14</vt:lpstr>
      <vt:lpstr>_102h_F15</vt:lpstr>
      <vt:lpstr>_102h_F16</vt:lpstr>
      <vt:lpstr>_102h_F17</vt:lpstr>
      <vt:lpstr>_102h_F18</vt:lpstr>
      <vt:lpstr>_102h_F19</vt:lpstr>
      <vt:lpstr>_102h_F20</vt:lpstr>
      <vt:lpstr>_102h_F21</vt:lpstr>
      <vt:lpstr>_102h_F22</vt:lpstr>
      <vt:lpstr>_102h_F23</vt:lpstr>
      <vt:lpstr>_102h_F24</vt:lpstr>
      <vt:lpstr>_102h_F25</vt:lpstr>
      <vt:lpstr>_102h_F26</vt:lpstr>
      <vt:lpstr>_102h_F27</vt:lpstr>
      <vt:lpstr>_102h_F28</vt:lpstr>
      <vt:lpstr>_102h_F29</vt:lpstr>
      <vt:lpstr>_102h_F30</vt:lpstr>
      <vt:lpstr>_102h_F31</vt:lpstr>
      <vt:lpstr>_102h_F32</vt:lpstr>
      <vt:lpstr>_102h_F33</vt:lpstr>
      <vt:lpstr>_102h_F34</vt:lpstr>
      <vt:lpstr>_102h_F35</vt:lpstr>
      <vt:lpstr>_102h_F36</vt:lpstr>
      <vt:lpstr>_102h_F37</vt:lpstr>
      <vt:lpstr>_102h_F38</vt:lpstr>
      <vt:lpstr>_102h_F39</vt:lpstr>
      <vt:lpstr>_102h_F40</vt:lpstr>
      <vt:lpstr>_102h_F41</vt:lpstr>
      <vt:lpstr>_102h_F42</vt:lpstr>
      <vt:lpstr>_102h_F43</vt:lpstr>
      <vt:lpstr>_102h_F44</vt:lpstr>
      <vt:lpstr>_102h_F45</vt:lpstr>
      <vt:lpstr>_102h_F46</vt:lpstr>
      <vt:lpstr>_102h_F47</vt:lpstr>
      <vt:lpstr>_102h_F48</vt:lpstr>
      <vt:lpstr>_102h_F49</vt:lpstr>
      <vt:lpstr>_102h_F50</vt:lpstr>
      <vt:lpstr>_102h_F51</vt:lpstr>
      <vt:lpstr>_102h_F53</vt:lpstr>
      <vt:lpstr>_102h_F54</vt:lpstr>
      <vt:lpstr>_102h_F55</vt:lpstr>
      <vt:lpstr>_102h_F56</vt:lpstr>
      <vt:lpstr>_102h_F57</vt:lpstr>
      <vt:lpstr>_102h_F58</vt:lpstr>
      <vt:lpstr>_102h_F59</vt:lpstr>
      <vt:lpstr>_102h_F60</vt:lpstr>
      <vt:lpstr>_102h_F61</vt:lpstr>
      <vt:lpstr>_102h_F62</vt:lpstr>
      <vt:lpstr>_102h_F64</vt:lpstr>
      <vt:lpstr>_102h_F65</vt:lpstr>
      <vt:lpstr>_102h_F7</vt:lpstr>
      <vt:lpstr>_102h_F8</vt:lpstr>
      <vt:lpstr>_102h_F9</vt:lpstr>
      <vt:lpstr>_103h_E10</vt:lpstr>
      <vt:lpstr>_103h_E11</vt:lpstr>
      <vt:lpstr>_103h_E12</vt:lpstr>
      <vt:lpstr>_103h_E13</vt:lpstr>
      <vt:lpstr>_103h_E14</vt:lpstr>
      <vt:lpstr>_103h_E15</vt:lpstr>
      <vt:lpstr>_103h_E16</vt:lpstr>
      <vt:lpstr>_103h_E17</vt:lpstr>
      <vt:lpstr>_103h_E18</vt:lpstr>
      <vt:lpstr>_103h_E19</vt:lpstr>
      <vt:lpstr>_103h_E20</vt:lpstr>
      <vt:lpstr>_103h_E21</vt:lpstr>
      <vt:lpstr>_103h_E22</vt:lpstr>
      <vt:lpstr>_103h_E23</vt:lpstr>
      <vt:lpstr>_103h_E24</vt:lpstr>
      <vt:lpstr>_103h_E25</vt:lpstr>
      <vt:lpstr>_103h_E26</vt:lpstr>
      <vt:lpstr>_103h_E27</vt:lpstr>
      <vt:lpstr>_103h_E28</vt:lpstr>
      <vt:lpstr>_103h_E29</vt:lpstr>
      <vt:lpstr>_103h_E30</vt:lpstr>
      <vt:lpstr>_103h_E31</vt:lpstr>
      <vt:lpstr>_103h_E32</vt:lpstr>
      <vt:lpstr>_103h_E33</vt:lpstr>
      <vt:lpstr>_103h_E34</vt:lpstr>
      <vt:lpstr>_103h_E35</vt:lpstr>
      <vt:lpstr>_103h_E36</vt:lpstr>
      <vt:lpstr>_103h_E37</vt:lpstr>
      <vt:lpstr>_103h_E38</vt:lpstr>
      <vt:lpstr>_103h_E39</vt:lpstr>
      <vt:lpstr>_103h_E40</vt:lpstr>
      <vt:lpstr>_103h_E41</vt:lpstr>
      <vt:lpstr>_103h_E42</vt:lpstr>
      <vt:lpstr>_103h_E43</vt:lpstr>
      <vt:lpstr>_103h_E44</vt:lpstr>
      <vt:lpstr>_103h_E45</vt:lpstr>
      <vt:lpstr>_103h_E46</vt:lpstr>
      <vt:lpstr>_103h_E47</vt:lpstr>
      <vt:lpstr>_103h_E48</vt:lpstr>
      <vt:lpstr>_103h_E49</vt:lpstr>
      <vt:lpstr>_103h_E50</vt:lpstr>
      <vt:lpstr>_103h_E51</vt:lpstr>
      <vt:lpstr>_103h_E53</vt:lpstr>
      <vt:lpstr>_103h_E54</vt:lpstr>
      <vt:lpstr>_103h_E55</vt:lpstr>
      <vt:lpstr>_103h_E56</vt:lpstr>
      <vt:lpstr>_103h_E57</vt:lpstr>
      <vt:lpstr>_103h_E58</vt:lpstr>
      <vt:lpstr>_103h_E59</vt:lpstr>
      <vt:lpstr>_103h_E60</vt:lpstr>
      <vt:lpstr>_103h_E61</vt:lpstr>
      <vt:lpstr>_103h_E62</vt:lpstr>
      <vt:lpstr>_103h_E64</vt:lpstr>
      <vt:lpstr>_103h_E65</vt:lpstr>
      <vt:lpstr>_103h_E7</vt:lpstr>
      <vt:lpstr>_103h_E8</vt:lpstr>
      <vt:lpstr>_103h_E9</vt:lpstr>
      <vt:lpstr>_103h_F10</vt:lpstr>
      <vt:lpstr>_103h_F11</vt:lpstr>
      <vt:lpstr>_103h_F12</vt:lpstr>
      <vt:lpstr>_103h_F13</vt:lpstr>
      <vt:lpstr>_103h_F14</vt:lpstr>
      <vt:lpstr>_103h_F15</vt:lpstr>
      <vt:lpstr>_103h_F16</vt:lpstr>
      <vt:lpstr>_103h_F17</vt:lpstr>
      <vt:lpstr>_103h_F18</vt:lpstr>
      <vt:lpstr>_103h_F19</vt:lpstr>
      <vt:lpstr>_103h_F20</vt:lpstr>
      <vt:lpstr>_103h_F21</vt:lpstr>
      <vt:lpstr>_103h_F22</vt:lpstr>
      <vt:lpstr>_103h_F23</vt:lpstr>
      <vt:lpstr>_103h_F24</vt:lpstr>
      <vt:lpstr>_103h_F25</vt:lpstr>
      <vt:lpstr>_103h_F26</vt:lpstr>
      <vt:lpstr>_103h_F27</vt:lpstr>
      <vt:lpstr>_103h_F28</vt:lpstr>
      <vt:lpstr>_103h_F29</vt:lpstr>
      <vt:lpstr>_103h_F30</vt:lpstr>
      <vt:lpstr>_103h_F31</vt:lpstr>
      <vt:lpstr>_103h_F32</vt:lpstr>
      <vt:lpstr>_103h_F33</vt:lpstr>
      <vt:lpstr>_103h_F34</vt:lpstr>
      <vt:lpstr>_103h_F35</vt:lpstr>
      <vt:lpstr>_103h_F36</vt:lpstr>
      <vt:lpstr>_103h_F37</vt:lpstr>
      <vt:lpstr>_103h_F38</vt:lpstr>
      <vt:lpstr>_103h_F39</vt:lpstr>
      <vt:lpstr>_103h_F40</vt:lpstr>
      <vt:lpstr>_103h_F41</vt:lpstr>
      <vt:lpstr>_103h_F42</vt:lpstr>
      <vt:lpstr>_103h_F43</vt:lpstr>
      <vt:lpstr>_103h_F44</vt:lpstr>
      <vt:lpstr>_103h_F45</vt:lpstr>
      <vt:lpstr>_103h_F46</vt:lpstr>
      <vt:lpstr>_103h_F47</vt:lpstr>
      <vt:lpstr>_103h_F48</vt:lpstr>
      <vt:lpstr>_103h_F49</vt:lpstr>
      <vt:lpstr>_103h_F50</vt:lpstr>
      <vt:lpstr>_103h_F51</vt:lpstr>
      <vt:lpstr>_103h_F53</vt:lpstr>
      <vt:lpstr>_103h_F54</vt:lpstr>
      <vt:lpstr>_103h_F55</vt:lpstr>
      <vt:lpstr>_103h_F56</vt:lpstr>
      <vt:lpstr>_103h_F57</vt:lpstr>
      <vt:lpstr>_103h_F58</vt:lpstr>
      <vt:lpstr>_103h_F59</vt:lpstr>
      <vt:lpstr>_103h_F60</vt:lpstr>
      <vt:lpstr>_103h_F61</vt:lpstr>
      <vt:lpstr>_103h_F62</vt:lpstr>
      <vt:lpstr>_103h_F64</vt:lpstr>
      <vt:lpstr>_103h_F65</vt:lpstr>
      <vt:lpstr>_103h_F7</vt:lpstr>
      <vt:lpstr>_103h_F8</vt:lpstr>
      <vt:lpstr>_103h_F9</vt:lpstr>
      <vt:lpstr>_104h_E10</vt:lpstr>
      <vt:lpstr>_104h_E11</vt:lpstr>
      <vt:lpstr>_104h_E12</vt:lpstr>
      <vt:lpstr>_104h_E13</vt:lpstr>
      <vt:lpstr>_104h_E14</vt:lpstr>
      <vt:lpstr>_104h_E15</vt:lpstr>
      <vt:lpstr>_104h_E16</vt:lpstr>
      <vt:lpstr>_104h_E17</vt:lpstr>
      <vt:lpstr>_104h_E18</vt:lpstr>
      <vt:lpstr>_104h_E19</vt:lpstr>
      <vt:lpstr>_104h_E20</vt:lpstr>
      <vt:lpstr>_104h_E21</vt:lpstr>
      <vt:lpstr>_104h_E22</vt:lpstr>
      <vt:lpstr>_104h_E23</vt:lpstr>
      <vt:lpstr>_104h_E24</vt:lpstr>
      <vt:lpstr>_104h_E25</vt:lpstr>
      <vt:lpstr>_104h_E26</vt:lpstr>
      <vt:lpstr>_104h_E27</vt:lpstr>
      <vt:lpstr>_104h_E28</vt:lpstr>
      <vt:lpstr>_104h_E29</vt:lpstr>
      <vt:lpstr>_104h_E30</vt:lpstr>
      <vt:lpstr>_104h_E31</vt:lpstr>
      <vt:lpstr>_104h_E32</vt:lpstr>
      <vt:lpstr>_104h_E33</vt:lpstr>
      <vt:lpstr>_104h_E34</vt:lpstr>
      <vt:lpstr>_104h_E35</vt:lpstr>
      <vt:lpstr>_104h_E36</vt:lpstr>
      <vt:lpstr>_104h_E37</vt:lpstr>
      <vt:lpstr>_104h_E38</vt:lpstr>
      <vt:lpstr>_104h_E39</vt:lpstr>
      <vt:lpstr>_104h_E40</vt:lpstr>
      <vt:lpstr>_104h_E41</vt:lpstr>
      <vt:lpstr>_104h_E42</vt:lpstr>
      <vt:lpstr>_104h_E43</vt:lpstr>
      <vt:lpstr>_104h_E44</vt:lpstr>
      <vt:lpstr>_104h_E45</vt:lpstr>
      <vt:lpstr>_104h_E46</vt:lpstr>
      <vt:lpstr>_104h_E47</vt:lpstr>
      <vt:lpstr>_104h_E48</vt:lpstr>
      <vt:lpstr>_104h_E49</vt:lpstr>
      <vt:lpstr>_104h_E50</vt:lpstr>
      <vt:lpstr>_104h_E51</vt:lpstr>
      <vt:lpstr>_104h_E53</vt:lpstr>
      <vt:lpstr>_104h_E54</vt:lpstr>
      <vt:lpstr>_104h_E55</vt:lpstr>
      <vt:lpstr>_104h_E56</vt:lpstr>
      <vt:lpstr>_104h_E57</vt:lpstr>
      <vt:lpstr>_104h_E58</vt:lpstr>
      <vt:lpstr>_104h_E59</vt:lpstr>
      <vt:lpstr>_104h_E60</vt:lpstr>
      <vt:lpstr>_104h_E61</vt:lpstr>
      <vt:lpstr>_104h_E62</vt:lpstr>
      <vt:lpstr>_104h_E64</vt:lpstr>
      <vt:lpstr>_104h_E65</vt:lpstr>
      <vt:lpstr>_104h_E7</vt:lpstr>
      <vt:lpstr>_104h_E8</vt:lpstr>
      <vt:lpstr>_104h_E9</vt:lpstr>
      <vt:lpstr>_104h_F10</vt:lpstr>
      <vt:lpstr>_104h_F11</vt:lpstr>
      <vt:lpstr>_104h_F12</vt:lpstr>
      <vt:lpstr>_104h_F13</vt:lpstr>
      <vt:lpstr>_104h_F14</vt:lpstr>
      <vt:lpstr>_104h_F15</vt:lpstr>
      <vt:lpstr>_104h_F16</vt:lpstr>
      <vt:lpstr>_104h_F17</vt:lpstr>
      <vt:lpstr>_104h_F18</vt:lpstr>
      <vt:lpstr>_104h_F19</vt:lpstr>
      <vt:lpstr>_104h_F20</vt:lpstr>
      <vt:lpstr>_104h_F21</vt:lpstr>
      <vt:lpstr>_104h_F22</vt:lpstr>
      <vt:lpstr>_104h_F23</vt:lpstr>
      <vt:lpstr>_104h_F24</vt:lpstr>
      <vt:lpstr>_104h_F25</vt:lpstr>
      <vt:lpstr>_104h_F26</vt:lpstr>
      <vt:lpstr>_104h_F27</vt:lpstr>
      <vt:lpstr>_104h_F28</vt:lpstr>
      <vt:lpstr>_104h_F29</vt:lpstr>
      <vt:lpstr>_104h_F30</vt:lpstr>
      <vt:lpstr>_104h_F31</vt:lpstr>
      <vt:lpstr>_104h_F32</vt:lpstr>
      <vt:lpstr>_104h_F33</vt:lpstr>
      <vt:lpstr>_104h_F34</vt:lpstr>
      <vt:lpstr>_104h_F35</vt:lpstr>
      <vt:lpstr>_104h_F36</vt:lpstr>
      <vt:lpstr>_104h_F37</vt:lpstr>
      <vt:lpstr>_104h_F38</vt:lpstr>
      <vt:lpstr>_104h_F39</vt:lpstr>
      <vt:lpstr>_104h_F40</vt:lpstr>
      <vt:lpstr>_104h_F41</vt:lpstr>
      <vt:lpstr>_104h_F42</vt:lpstr>
      <vt:lpstr>_104h_F43</vt:lpstr>
      <vt:lpstr>_104h_F44</vt:lpstr>
      <vt:lpstr>_104h_F45</vt:lpstr>
      <vt:lpstr>_104h_F46</vt:lpstr>
      <vt:lpstr>_104h_F47</vt:lpstr>
      <vt:lpstr>_104h_F48</vt:lpstr>
      <vt:lpstr>_104h_F49</vt:lpstr>
      <vt:lpstr>_104h_F50</vt:lpstr>
      <vt:lpstr>_104h_F51</vt:lpstr>
      <vt:lpstr>_104h_F53</vt:lpstr>
      <vt:lpstr>_104h_F54</vt:lpstr>
      <vt:lpstr>_104h_F55</vt:lpstr>
      <vt:lpstr>_104h_F56</vt:lpstr>
      <vt:lpstr>_104h_F57</vt:lpstr>
      <vt:lpstr>_104h_F58</vt:lpstr>
      <vt:lpstr>_104h_F59</vt:lpstr>
      <vt:lpstr>_104h_F60</vt:lpstr>
      <vt:lpstr>_104h_F61</vt:lpstr>
      <vt:lpstr>_104h_F62</vt:lpstr>
      <vt:lpstr>_104h_F64</vt:lpstr>
      <vt:lpstr>_104h_F65</vt:lpstr>
      <vt:lpstr>_104h_F7</vt:lpstr>
      <vt:lpstr>_104h_F8</vt:lpstr>
      <vt:lpstr>_104h_F9</vt:lpstr>
      <vt:lpstr>_105h_E10</vt:lpstr>
      <vt:lpstr>_105h_E11</vt:lpstr>
      <vt:lpstr>_105h_E12</vt:lpstr>
      <vt:lpstr>_105h_E13</vt:lpstr>
      <vt:lpstr>_105h_E14</vt:lpstr>
      <vt:lpstr>_105h_E15</vt:lpstr>
      <vt:lpstr>_105h_E16</vt:lpstr>
      <vt:lpstr>_105h_E17</vt:lpstr>
      <vt:lpstr>_105h_E18</vt:lpstr>
      <vt:lpstr>_105h_E19</vt:lpstr>
      <vt:lpstr>_105h_E20</vt:lpstr>
      <vt:lpstr>_105h_E21</vt:lpstr>
      <vt:lpstr>_105h_E22</vt:lpstr>
      <vt:lpstr>_105h_E23</vt:lpstr>
      <vt:lpstr>_105h_E24</vt:lpstr>
      <vt:lpstr>_105h_E25</vt:lpstr>
      <vt:lpstr>_105h_E26</vt:lpstr>
      <vt:lpstr>_105h_E27</vt:lpstr>
      <vt:lpstr>_105h_E28</vt:lpstr>
      <vt:lpstr>_105h_E29</vt:lpstr>
      <vt:lpstr>_105h_E30</vt:lpstr>
      <vt:lpstr>_105h_E31</vt:lpstr>
      <vt:lpstr>_105h_E32</vt:lpstr>
      <vt:lpstr>_105h_E33</vt:lpstr>
      <vt:lpstr>_105h_E34</vt:lpstr>
      <vt:lpstr>_105h_E35</vt:lpstr>
      <vt:lpstr>_105h_E36</vt:lpstr>
      <vt:lpstr>_105h_E37</vt:lpstr>
      <vt:lpstr>_105h_E38</vt:lpstr>
      <vt:lpstr>_105h_E39</vt:lpstr>
      <vt:lpstr>_105h_E40</vt:lpstr>
      <vt:lpstr>_105h_E41</vt:lpstr>
      <vt:lpstr>_105h_E42</vt:lpstr>
      <vt:lpstr>_105h_E43</vt:lpstr>
      <vt:lpstr>_105h_E44</vt:lpstr>
      <vt:lpstr>_105h_E45</vt:lpstr>
      <vt:lpstr>_105h_E46</vt:lpstr>
      <vt:lpstr>_105h_E47</vt:lpstr>
      <vt:lpstr>_105h_E48</vt:lpstr>
      <vt:lpstr>_105h_E49</vt:lpstr>
      <vt:lpstr>_105h_E50</vt:lpstr>
      <vt:lpstr>_105h_E51</vt:lpstr>
      <vt:lpstr>_105h_E53</vt:lpstr>
      <vt:lpstr>_105h_E54</vt:lpstr>
      <vt:lpstr>_105h_E55</vt:lpstr>
      <vt:lpstr>_105h_E56</vt:lpstr>
      <vt:lpstr>_105h_E57</vt:lpstr>
      <vt:lpstr>_105h_E58</vt:lpstr>
      <vt:lpstr>_105h_E59</vt:lpstr>
      <vt:lpstr>_105h_E60</vt:lpstr>
      <vt:lpstr>_105h_E61</vt:lpstr>
      <vt:lpstr>_105h_E62</vt:lpstr>
      <vt:lpstr>_105h_E64</vt:lpstr>
      <vt:lpstr>_105h_E65</vt:lpstr>
      <vt:lpstr>_105h_E7</vt:lpstr>
      <vt:lpstr>_105h_E8</vt:lpstr>
      <vt:lpstr>_105h_E9</vt:lpstr>
      <vt:lpstr>_105h_F10</vt:lpstr>
      <vt:lpstr>_105h_F11</vt:lpstr>
      <vt:lpstr>_105h_F12</vt:lpstr>
      <vt:lpstr>_105h_F13</vt:lpstr>
      <vt:lpstr>_105h_F14</vt:lpstr>
      <vt:lpstr>_105h_F15</vt:lpstr>
      <vt:lpstr>_105h_F16</vt:lpstr>
      <vt:lpstr>_105h_F17</vt:lpstr>
      <vt:lpstr>_105h_F18</vt:lpstr>
      <vt:lpstr>_105h_F19</vt:lpstr>
      <vt:lpstr>_105h_F20</vt:lpstr>
      <vt:lpstr>_105h_F21</vt:lpstr>
      <vt:lpstr>_105h_F22</vt:lpstr>
      <vt:lpstr>_105h_F23</vt:lpstr>
      <vt:lpstr>_105h_F24</vt:lpstr>
      <vt:lpstr>_105h_F25</vt:lpstr>
      <vt:lpstr>_105h_F26</vt:lpstr>
      <vt:lpstr>_105h_F27</vt:lpstr>
      <vt:lpstr>_105h_F28</vt:lpstr>
      <vt:lpstr>_105h_F29</vt:lpstr>
      <vt:lpstr>_105h_F30</vt:lpstr>
      <vt:lpstr>_105h_F31</vt:lpstr>
      <vt:lpstr>_105h_F32</vt:lpstr>
      <vt:lpstr>_105h_F33</vt:lpstr>
      <vt:lpstr>_105h_F34</vt:lpstr>
      <vt:lpstr>_105h_F35</vt:lpstr>
      <vt:lpstr>_105h_F36</vt:lpstr>
      <vt:lpstr>_105h_F37</vt:lpstr>
      <vt:lpstr>_105h_F38</vt:lpstr>
      <vt:lpstr>_105h_F39</vt:lpstr>
      <vt:lpstr>_105h_F40</vt:lpstr>
      <vt:lpstr>_105h_F41</vt:lpstr>
      <vt:lpstr>_105h_F42</vt:lpstr>
      <vt:lpstr>_105h_F43</vt:lpstr>
      <vt:lpstr>_105h_F44</vt:lpstr>
      <vt:lpstr>_105h_F45</vt:lpstr>
      <vt:lpstr>_105h_F46</vt:lpstr>
      <vt:lpstr>_105h_F47</vt:lpstr>
      <vt:lpstr>_105h_F48</vt:lpstr>
      <vt:lpstr>_105h_F49</vt:lpstr>
      <vt:lpstr>_105h_F50</vt:lpstr>
      <vt:lpstr>_105h_F51</vt:lpstr>
      <vt:lpstr>_105h_F53</vt:lpstr>
      <vt:lpstr>_105h_F54</vt:lpstr>
      <vt:lpstr>_105h_F55</vt:lpstr>
      <vt:lpstr>_105h_F56</vt:lpstr>
      <vt:lpstr>_105h_F57</vt:lpstr>
      <vt:lpstr>_105h_F58</vt:lpstr>
      <vt:lpstr>_105h_F59</vt:lpstr>
      <vt:lpstr>_105h_F60</vt:lpstr>
      <vt:lpstr>_105h_F61</vt:lpstr>
      <vt:lpstr>_105h_F62</vt:lpstr>
      <vt:lpstr>_105h_F64</vt:lpstr>
      <vt:lpstr>_105h_F65</vt:lpstr>
      <vt:lpstr>_105h_F7</vt:lpstr>
      <vt:lpstr>_105h_F8</vt:lpstr>
      <vt:lpstr>_105h_F9</vt:lpstr>
      <vt:lpstr>_106h_E10</vt:lpstr>
      <vt:lpstr>_106h_E11</vt:lpstr>
      <vt:lpstr>_106h_E12</vt:lpstr>
      <vt:lpstr>_106h_E13</vt:lpstr>
      <vt:lpstr>_106h_E14</vt:lpstr>
      <vt:lpstr>_106h_E15</vt:lpstr>
      <vt:lpstr>_106h_E16</vt:lpstr>
      <vt:lpstr>_106h_E17</vt:lpstr>
      <vt:lpstr>_106h_E18</vt:lpstr>
      <vt:lpstr>_106h_E19</vt:lpstr>
      <vt:lpstr>_106h_E20</vt:lpstr>
      <vt:lpstr>_106h_E21</vt:lpstr>
      <vt:lpstr>_106h_E22</vt:lpstr>
      <vt:lpstr>_106h_E23</vt:lpstr>
      <vt:lpstr>_106h_E24</vt:lpstr>
      <vt:lpstr>_106h_E25</vt:lpstr>
      <vt:lpstr>_106h_E26</vt:lpstr>
      <vt:lpstr>_106h_E27</vt:lpstr>
      <vt:lpstr>_106h_E28</vt:lpstr>
      <vt:lpstr>_106h_E29</vt:lpstr>
      <vt:lpstr>_106h_E30</vt:lpstr>
      <vt:lpstr>_106h_E31</vt:lpstr>
      <vt:lpstr>_106h_E32</vt:lpstr>
      <vt:lpstr>_106h_E33</vt:lpstr>
      <vt:lpstr>_106h_E34</vt:lpstr>
      <vt:lpstr>_106h_E35</vt:lpstr>
      <vt:lpstr>_106h_E36</vt:lpstr>
      <vt:lpstr>_106h_E37</vt:lpstr>
      <vt:lpstr>_106h_E38</vt:lpstr>
      <vt:lpstr>_106h_E39</vt:lpstr>
      <vt:lpstr>_106h_E40</vt:lpstr>
      <vt:lpstr>_106h_E41</vt:lpstr>
      <vt:lpstr>_106h_E42</vt:lpstr>
      <vt:lpstr>_106h_E43</vt:lpstr>
      <vt:lpstr>_106h_E44</vt:lpstr>
      <vt:lpstr>_106h_E45</vt:lpstr>
      <vt:lpstr>_106h_E46</vt:lpstr>
      <vt:lpstr>_106h_E47</vt:lpstr>
      <vt:lpstr>_106h_E48</vt:lpstr>
      <vt:lpstr>_106h_E49</vt:lpstr>
      <vt:lpstr>_106h_E50</vt:lpstr>
      <vt:lpstr>_106h_E51</vt:lpstr>
      <vt:lpstr>_106h_E53</vt:lpstr>
      <vt:lpstr>_106h_E54</vt:lpstr>
      <vt:lpstr>_106h_E55</vt:lpstr>
      <vt:lpstr>_106h_E56</vt:lpstr>
      <vt:lpstr>_106h_E57</vt:lpstr>
      <vt:lpstr>_106h_E58</vt:lpstr>
      <vt:lpstr>_106h_E59</vt:lpstr>
      <vt:lpstr>_106h_E60</vt:lpstr>
      <vt:lpstr>_106h_E61</vt:lpstr>
      <vt:lpstr>_106h_E62</vt:lpstr>
      <vt:lpstr>_106h_E64</vt:lpstr>
      <vt:lpstr>_106h_E65</vt:lpstr>
      <vt:lpstr>_106h_E7</vt:lpstr>
      <vt:lpstr>_106h_E8</vt:lpstr>
      <vt:lpstr>_106h_E9</vt:lpstr>
      <vt:lpstr>_106h_F10</vt:lpstr>
      <vt:lpstr>_106h_F11</vt:lpstr>
      <vt:lpstr>_106h_F12</vt:lpstr>
      <vt:lpstr>_106h_F13</vt:lpstr>
      <vt:lpstr>_106h_F14</vt:lpstr>
      <vt:lpstr>_106h_F15</vt:lpstr>
      <vt:lpstr>_106h_F16</vt:lpstr>
      <vt:lpstr>_106h_F17</vt:lpstr>
      <vt:lpstr>_106h_F18</vt:lpstr>
      <vt:lpstr>_106h_F19</vt:lpstr>
      <vt:lpstr>_106h_F20</vt:lpstr>
      <vt:lpstr>_106h_F21</vt:lpstr>
      <vt:lpstr>_106h_F22</vt:lpstr>
      <vt:lpstr>_106h_F23</vt:lpstr>
      <vt:lpstr>_106h_F24</vt:lpstr>
      <vt:lpstr>_106h_F25</vt:lpstr>
      <vt:lpstr>_106h_F26</vt:lpstr>
      <vt:lpstr>_106h_F27</vt:lpstr>
      <vt:lpstr>_106h_F28</vt:lpstr>
      <vt:lpstr>_106h_F29</vt:lpstr>
      <vt:lpstr>_106h_F30</vt:lpstr>
      <vt:lpstr>_106h_F31</vt:lpstr>
      <vt:lpstr>_106h_F32</vt:lpstr>
      <vt:lpstr>_106h_F33</vt:lpstr>
      <vt:lpstr>_106h_F34</vt:lpstr>
      <vt:lpstr>_106h_F35</vt:lpstr>
      <vt:lpstr>_106h_F36</vt:lpstr>
      <vt:lpstr>_106h_F37</vt:lpstr>
      <vt:lpstr>_106h_F38</vt:lpstr>
      <vt:lpstr>_106h_F39</vt:lpstr>
      <vt:lpstr>_106h_F40</vt:lpstr>
      <vt:lpstr>_106h_F41</vt:lpstr>
      <vt:lpstr>_106h_F42</vt:lpstr>
      <vt:lpstr>_106h_F43</vt:lpstr>
      <vt:lpstr>_106h_F44</vt:lpstr>
      <vt:lpstr>_106h_F45</vt:lpstr>
      <vt:lpstr>_106h_F46</vt:lpstr>
      <vt:lpstr>_106h_F47</vt:lpstr>
      <vt:lpstr>_106h_F48</vt:lpstr>
      <vt:lpstr>_106h_F49</vt:lpstr>
      <vt:lpstr>_106h_F50</vt:lpstr>
      <vt:lpstr>_106h_F51</vt:lpstr>
      <vt:lpstr>_106h_F53</vt:lpstr>
      <vt:lpstr>_106h_F54</vt:lpstr>
      <vt:lpstr>_106h_F55</vt:lpstr>
      <vt:lpstr>_106h_F56</vt:lpstr>
      <vt:lpstr>_106h_F57</vt:lpstr>
      <vt:lpstr>_106h_F58</vt:lpstr>
      <vt:lpstr>_106h_F59</vt:lpstr>
      <vt:lpstr>_106h_F60</vt:lpstr>
      <vt:lpstr>_106h_F61</vt:lpstr>
      <vt:lpstr>_106h_F62</vt:lpstr>
      <vt:lpstr>_106h_F64</vt:lpstr>
      <vt:lpstr>_106h_F65</vt:lpstr>
      <vt:lpstr>_106h_F7</vt:lpstr>
      <vt:lpstr>_106h_F8</vt:lpstr>
      <vt:lpstr>_106h_F9</vt:lpstr>
      <vt:lpstr>_107h_E10</vt:lpstr>
      <vt:lpstr>_107h_E11</vt:lpstr>
      <vt:lpstr>_107h_E12</vt:lpstr>
      <vt:lpstr>_107h_E13</vt:lpstr>
      <vt:lpstr>_107h_E14</vt:lpstr>
      <vt:lpstr>_107h_E15</vt:lpstr>
      <vt:lpstr>_107h_E16</vt:lpstr>
      <vt:lpstr>_107h_E17</vt:lpstr>
      <vt:lpstr>_107h_E18</vt:lpstr>
      <vt:lpstr>_107h_E19</vt:lpstr>
      <vt:lpstr>_107h_E20</vt:lpstr>
      <vt:lpstr>_107h_E21</vt:lpstr>
      <vt:lpstr>_107h_E22</vt:lpstr>
      <vt:lpstr>_107h_E23</vt:lpstr>
      <vt:lpstr>_107h_E24</vt:lpstr>
      <vt:lpstr>_107h_E25</vt:lpstr>
      <vt:lpstr>_107h_E26</vt:lpstr>
      <vt:lpstr>_107h_E27</vt:lpstr>
      <vt:lpstr>_107h_E28</vt:lpstr>
      <vt:lpstr>_107h_E29</vt:lpstr>
      <vt:lpstr>_107h_E30</vt:lpstr>
      <vt:lpstr>_107h_E31</vt:lpstr>
      <vt:lpstr>_107h_E32</vt:lpstr>
      <vt:lpstr>_107h_E33</vt:lpstr>
      <vt:lpstr>_107h_E34</vt:lpstr>
      <vt:lpstr>_107h_E35</vt:lpstr>
      <vt:lpstr>_107h_E36</vt:lpstr>
      <vt:lpstr>_107h_E37</vt:lpstr>
      <vt:lpstr>_107h_E38</vt:lpstr>
      <vt:lpstr>_107h_E39</vt:lpstr>
      <vt:lpstr>_107h_E40</vt:lpstr>
      <vt:lpstr>_107h_E41</vt:lpstr>
      <vt:lpstr>_107h_E42</vt:lpstr>
      <vt:lpstr>_107h_E43</vt:lpstr>
      <vt:lpstr>_107h_E44</vt:lpstr>
      <vt:lpstr>_107h_E45</vt:lpstr>
      <vt:lpstr>_107h_E46</vt:lpstr>
      <vt:lpstr>_107h_E47</vt:lpstr>
      <vt:lpstr>_107h_E48</vt:lpstr>
      <vt:lpstr>_107h_E49</vt:lpstr>
      <vt:lpstr>_107h_E50</vt:lpstr>
      <vt:lpstr>_107h_E51</vt:lpstr>
      <vt:lpstr>_107h_E53</vt:lpstr>
      <vt:lpstr>_107h_E54</vt:lpstr>
      <vt:lpstr>_107h_E55</vt:lpstr>
      <vt:lpstr>_107h_E56</vt:lpstr>
      <vt:lpstr>_107h_E57</vt:lpstr>
      <vt:lpstr>_107h_E58</vt:lpstr>
      <vt:lpstr>_107h_E59</vt:lpstr>
      <vt:lpstr>_107h_E60</vt:lpstr>
      <vt:lpstr>_107h_E61</vt:lpstr>
      <vt:lpstr>_107h_E62</vt:lpstr>
      <vt:lpstr>_107h_E64</vt:lpstr>
      <vt:lpstr>_107h_E65</vt:lpstr>
      <vt:lpstr>_107h_E7</vt:lpstr>
      <vt:lpstr>_107h_E8</vt:lpstr>
      <vt:lpstr>_107h_E9</vt:lpstr>
      <vt:lpstr>_107h_F10</vt:lpstr>
      <vt:lpstr>_107h_F11</vt:lpstr>
      <vt:lpstr>_107h_F12</vt:lpstr>
      <vt:lpstr>_107h_F13</vt:lpstr>
      <vt:lpstr>_107h_F14</vt:lpstr>
      <vt:lpstr>_107h_F15</vt:lpstr>
      <vt:lpstr>_107h_F16</vt:lpstr>
      <vt:lpstr>_107h_F17</vt:lpstr>
      <vt:lpstr>_107h_F18</vt:lpstr>
      <vt:lpstr>_107h_F19</vt:lpstr>
      <vt:lpstr>_107h_F20</vt:lpstr>
      <vt:lpstr>_107h_F21</vt:lpstr>
      <vt:lpstr>_107h_F22</vt:lpstr>
      <vt:lpstr>_107h_F23</vt:lpstr>
      <vt:lpstr>_107h_F24</vt:lpstr>
      <vt:lpstr>_107h_F25</vt:lpstr>
      <vt:lpstr>_107h_F26</vt:lpstr>
      <vt:lpstr>_107h_F27</vt:lpstr>
      <vt:lpstr>_107h_F28</vt:lpstr>
      <vt:lpstr>_107h_F29</vt:lpstr>
      <vt:lpstr>_107h_F30</vt:lpstr>
      <vt:lpstr>_107h_F31</vt:lpstr>
      <vt:lpstr>_107h_F32</vt:lpstr>
      <vt:lpstr>_107h_F33</vt:lpstr>
      <vt:lpstr>_107h_F34</vt:lpstr>
      <vt:lpstr>_107h_F35</vt:lpstr>
      <vt:lpstr>_107h_F36</vt:lpstr>
      <vt:lpstr>_107h_F37</vt:lpstr>
      <vt:lpstr>_107h_F38</vt:lpstr>
      <vt:lpstr>_107h_F39</vt:lpstr>
      <vt:lpstr>_107h_F40</vt:lpstr>
      <vt:lpstr>_107h_F41</vt:lpstr>
      <vt:lpstr>_107h_F42</vt:lpstr>
      <vt:lpstr>_107h_F43</vt:lpstr>
      <vt:lpstr>_107h_F44</vt:lpstr>
      <vt:lpstr>_107h_F45</vt:lpstr>
      <vt:lpstr>_107h_F46</vt:lpstr>
      <vt:lpstr>_107h_F47</vt:lpstr>
      <vt:lpstr>_107h_F48</vt:lpstr>
      <vt:lpstr>_107h_F49</vt:lpstr>
      <vt:lpstr>_107h_F50</vt:lpstr>
      <vt:lpstr>_107h_F51</vt:lpstr>
      <vt:lpstr>_107h_F53</vt:lpstr>
      <vt:lpstr>_107h_F54</vt:lpstr>
      <vt:lpstr>_107h_F55</vt:lpstr>
      <vt:lpstr>_107h_F56</vt:lpstr>
      <vt:lpstr>_107h_F57</vt:lpstr>
      <vt:lpstr>_107h_F58</vt:lpstr>
      <vt:lpstr>_107h_F59</vt:lpstr>
      <vt:lpstr>_107h_F60</vt:lpstr>
      <vt:lpstr>_107h_F61</vt:lpstr>
      <vt:lpstr>_107h_F62</vt:lpstr>
      <vt:lpstr>_107h_F64</vt:lpstr>
      <vt:lpstr>_107h_F65</vt:lpstr>
      <vt:lpstr>_107h_F7</vt:lpstr>
      <vt:lpstr>_107h_F8</vt:lpstr>
      <vt:lpstr>_107h_F9</vt:lpstr>
      <vt:lpstr>_108h_E10</vt:lpstr>
      <vt:lpstr>_108h_E11</vt:lpstr>
      <vt:lpstr>_108h_E12</vt:lpstr>
      <vt:lpstr>_108h_E13</vt:lpstr>
      <vt:lpstr>_108h_E14</vt:lpstr>
      <vt:lpstr>_108h_E15</vt:lpstr>
      <vt:lpstr>_108h_E16</vt:lpstr>
      <vt:lpstr>_108h_E17</vt:lpstr>
      <vt:lpstr>_108h_E18</vt:lpstr>
      <vt:lpstr>_108h_E19</vt:lpstr>
      <vt:lpstr>_108h_E20</vt:lpstr>
      <vt:lpstr>_108h_E21</vt:lpstr>
      <vt:lpstr>_108h_E22</vt:lpstr>
      <vt:lpstr>_108h_E23</vt:lpstr>
      <vt:lpstr>_108h_E24</vt:lpstr>
      <vt:lpstr>_108h_E25</vt:lpstr>
      <vt:lpstr>_108h_E26</vt:lpstr>
      <vt:lpstr>_108h_E27</vt:lpstr>
      <vt:lpstr>_108h_E28</vt:lpstr>
      <vt:lpstr>_108h_E29</vt:lpstr>
      <vt:lpstr>_108h_E30</vt:lpstr>
      <vt:lpstr>_108h_E31</vt:lpstr>
      <vt:lpstr>_108h_E32</vt:lpstr>
      <vt:lpstr>_108h_E33</vt:lpstr>
      <vt:lpstr>_108h_E34</vt:lpstr>
      <vt:lpstr>_108h_E35</vt:lpstr>
      <vt:lpstr>_108h_E36</vt:lpstr>
      <vt:lpstr>_108h_E37</vt:lpstr>
      <vt:lpstr>_108h_E38</vt:lpstr>
      <vt:lpstr>_108h_E39</vt:lpstr>
      <vt:lpstr>_108h_E40</vt:lpstr>
      <vt:lpstr>_108h_E41</vt:lpstr>
      <vt:lpstr>_108h_E42</vt:lpstr>
      <vt:lpstr>_108h_E43</vt:lpstr>
      <vt:lpstr>_108h_E44</vt:lpstr>
      <vt:lpstr>_108h_E45</vt:lpstr>
      <vt:lpstr>_108h_E46</vt:lpstr>
      <vt:lpstr>_108h_E47</vt:lpstr>
      <vt:lpstr>_108h_E48</vt:lpstr>
      <vt:lpstr>_108h_E49</vt:lpstr>
      <vt:lpstr>_108h_E50</vt:lpstr>
      <vt:lpstr>_108h_E51</vt:lpstr>
      <vt:lpstr>_108h_E53</vt:lpstr>
      <vt:lpstr>_108h_E54</vt:lpstr>
      <vt:lpstr>_108h_E55</vt:lpstr>
      <vt:lpstr>_108h_E56</vt:lpstr>
      <vt:lpstr>_108h_E57</vt:lpstr>
      <vt:lpstr>_108h_E58</vt:lpstr>
      <vt:lpstr>_108h_E59</vt:lpstr>
      <vt:lpstr>_108h_E60</vt:lpstr>
      <vt:lpstr>_108h_E61</vt:lpstr>
      <vt:lpstr>_108h_E62</vt:lpstr>
      <vt:lpstr>_108h_E64</vt:lpstr>
      <vt:lpstr>_108h_E65</vt:lpstr>
      <vt:lpstr>_108h_E7</vt:lpstr>
      <vt:lpstr>_108h_E8</vt:lpstr>
      <vt:lpstr>_108h_E9</vt:lpstr>
      <vt:lpstr>_108h_F10</vt:lpstr>
      <vt:lpstr>_108h_F11</vt:lpstr>
      <vt:lpstr>_108h_F12</vt:lpstr>
      <vt:lpstr>_108h_F13</vt:lpstr>
      <vt:lpstr>_108h_F14</vt:lpstr>
      <vt:lpstr>_108h_F15</vt:lpstr>
      <vt:lpstr>_108h_F16</vt:lpstr>
      <vt:lpstr>_108h_F17</vt:lpstr>
      <vt:lpstr>_108h_F18</vt:lpstr>
      <vt:lpstr>_108h_F19</vt:lpstr>
      <vt:lpstr>_108h_F20</vt:lpstr>
      <vt:lpstr>_108h_F21</vt:lpstr>
      <vt:lpstr>_108h_F22</vt:lpstr>
      <vt:lpstr>_108h_F23</vt:lpstr>
      <vt:lpstr>_108h_F24</vt:lpstr>
      <vt:lpstr>_108h_F25</vt:lpstr>
      <vt:lpstr>_108h_F26</vt:lpstr>
      <vt:lpstr>_108h_F27</vt:lpstr>
      <vt:lpstr>_108h_F28</vt:lpstr>
      <vt:lpstr>_108h_F29</vt:lpstr>
      <vt:lpstr>_108h_F30</vt:lpstr>
      <vt:lpstr>_108h_F31</vt:lpstr>
      <vt:lpstr>_108h_F32</vt:lpstr>
      <vt:lpstr>_108h_F33</vt:lpstr>
      <vt:lpstr>_108h_F34</vt:lpstr>
      <vt:lpstr>_108h_F35</vt:lpstr>
      <vt:lpstr>_108h_F36</vt:lpstr>
      <vt:lpstr>_108h_F37</vt:lpstr>
      <vt:lpstr>_108h_F38</vt:lpstr>
      <vt:lpstr>_108h_F39</vt:lpstr>
      <vt:lpstr>_108h_F40</vt:lpstr>
      <vt:lpstr>_108h_F41</vt:lpstr>
      <vt:lpstr>_108h_F42</vt:lpstr>
      <vt:lpstr>_108h_F43</vt:lpstr>
      <vt:lpstr>_108h_F44</vt:lpstr>
      <vt:lpstr>_108h_F45</vt:lpstr>
      <vt:lpstr>_108h_F46</vt:lpstr>
      <vt:lpstr>_108h_F47</vt:lpstr>
      <vt:lpstr>_108h_F48</vt:lpstr>
      <vt:lpstr>_108h_F49</vt:lpstr>
      <vt:lpstr>_108h_F50</vt:lpstr>
      <vt:lpstr>_108h_F51</vt:lpstr>
      <vt:lpstr>_108h_F53</vt:lpstr>
      <vt:lpstr>_108h_F54</vt:lpstr>
      <vt:lpstr>_108h_F55</vt:lpstr>
      <vt:lpstr>_108h_F56</vt:lpstr>
      <vt:lpstr>_108h_F57</vt:lpstr>
      <vt:lpstr>_108h_F58</vt:lpstr>
      <vt:lpstr>_108h_F59</vt:lpstr>
      <vt:lpstr>_108h_F60</vt:lpstr>
      <vt:lpstr>_108h_F61</vt:lpstr>
      <vt:lpstr>_108h_F62</vt:lpstr>
      <vt:lpstr>_108h_F64</vt:lpstr>
      <vt:lpstr>_108h_F65</vt:lpstr>
      <vt:lpstr>_108h_F7</vt:lpstr>
      <vt:lpstr>_108h_F8</vt:lpstr>
      <vt:lpstr>_108h_F9</vt:lpstr>
      <vt:lpstr>_109h_E10</vt:lpstr>
      <vt:lpstr>_109h_E11</vt:lpstr>
      <vt:lpstr>_109h_E12</vt:lpstr>
      <vt:lpstr>_109h_E13</vt:lpstr>
      <vt:lpstr>_109h_E14</vt:lpstr>
      <vt:lpstr>_109h_E15</vt:lpstr>
      <vt:lpstr>_109h_E16</vt:lpstr>
      <vt:lpstr>_109h_E17</vt:lpstr>
      <vt:lpstr>_109h_E18</vt:lpstr>
      <vt:lpstr>_109h_E19</vt:lpstr>
      <vt:lpstr>_109h_E20</vt:lpstr>
      <vt:lpstr>_109h_E21</vt:lpstr>
      <vt:lpstr>_109h_E22</vt:lpstr>
      <vt:lpstr>_109h_E23</vt:lpstr>
      <vt:lpstr>_109h_E24</vt:lpstr>
      <vt:lpstr>_109h_E25</vt:lpstr>
      <vt:lpstr>_109h_E26</vt:lpstr>
      <vt:lpstr>_109h_E27</vt:lpstr>
      <vt:lpstr>_109h_E28</vt:lpstr>
      <vt:lpstr>_109h_E29</vt:lpstr>
      <vt:lpstr>_109h_E30</vt:lpstr>
      <vt:lpstr>_109h_E31</vt:lpstr>
      <vt:lpstr>_109h_E32</vt:lpstr>
      <vt:lpstr>_109h_E33</vt:lpstr>
      <vt:lpstr>_109h_E34</vt:lpstr>
      <vt:lpstr>_109h_E35</vt:lpstr>
      <vt:lpstr>_109h_E36</vt:lpstr>
      <vt:lpstr>_109h_E37</vt:lpstr>
      <vt:lpstr>_109h_E38</vt:lpstr>
      <vt:lpstr>_109h_E39</vt:lpstr>
      <vt:lpstr>_109h_E40</vt:lpstr>
      <vt:lpstr>_109h_E41</vt:lpstr>
      <vt:lpstr>_109h_E42</vt:lpstr>
      <vt:lpstr>_109h_E43</vt:lpstr>
      <vt:lpstr>_109h_E44</vt:lpstr>
      <vt:lpstr>_109h_E45</vt:lpstr>
      <vt:lpstr>_109h_E46</vt:lpstr>
      <vt:lpstr>_109h_E47</vt:lpstr>
      <vt:lpstr>_109h_E48</vt:lpstr>
      <vt:lpstr>_109h_E49</vt:lpstr>
      <vt:lpstr>_109h_E50</vt:lpstr>
      <vt:lpstr>_109h_E51</vt:lpstr>
      <vt:lpstr>_109h_E53</vt:lpstr>
      <vt:lpstr>_109h_E54</vt:lpstr>
      <vt:lpstr>_109h_E55</vt:lpstr>
      <vt:lpstr>_109h_E56</vt:lpstr>
      <vt:lpstr>_109h_E57</vt:lpstr>
      <vt:lpstr>_109h_E58</vt:lpstr>
      <vt:lpstr>_109h_E59</vt:lpstr>
      <vt:lpstr>_109h_E60</vt:lpstr>
      <vt:lpstr>_109h_E61</vt:lpstr>
      <vt:lpstr>_109h_E62</vt:lpstr>
      <vt:lpstr>_109h_E64</vt:lpstr>
      <vt:lpstr>_109h_E65</vt:lpstr>
      <vt:lpstr>_109h_E7</vt:lpstr>
      <vt:lpstr>_109h_E8</vt:lpstr>
      <vt:lpstr>_109h_E9</vt:lpstr>
      <vt:lpstr>_109h_F10</vt:lpstr>
      <vt:lpstr>_109h_F11</vt:lpstr>
      <vt:lpstr>_109h_F12</vt:lpstr>
      <vt:lpstr>_109h_F13</vt:lpstr>
      <vt:lpstr>_109h_F14</vt:lpstr>
      <vt:lpstr>_109h_F15</vt:lpstr>
      <vt:lpstr>_109h_F16</vt:lpstr>
      <vt:lpstr>_109h_F17</vt:lpstr>
      <vt:lpstr>_109h_F18</vt:lpstr>
      <vt:lpstr>_109h_F19</vt:lpstr>
      <vt:lpstr>_109h_F20</vt:lpstr>
      <vt:lpstr>_109h_F21</vt:lpstr>
      <vt:lpstr>_109h_F22</vt:lpstr>
      <vt:lpstr>_109h_F23</vt:lpstr>
      <vt:lpstr>_109h_F24</vt:lpstr>
      <vt:lpstr>_109h_F25</vt:lpstr>
      <vt:lpstr>_109h_F26</vt:lpstr>
      <vt:lpstr>_109h_F27</vt:lpstr>
      <vt:lpstr>_109h_F28</vt:lpstr>
      <vt:lpstr>_109h_F29</vt:lpstr>
      <vt:lpstr>_109h_F30</vt:lpstr>
      <vt:lpstr>_109h_F31</vt:lpstr>
      <vt:lpstr>_109h_F32</vt:lpstr>
      <vt:lpstr>_109h_F33</vt:lpstr>
      <vt:lpstr>_109h_F34</vt:lpstr>
      <vt:lpstr>_109h_F35</vt:lpstr>
      <vt:lpstr>_109h_F36</vt:lpstr>
      <vt:lpstr>_109h_F37</vt:lpstr>
      <vt:lpstr>_109h_F38</vt:lpstr>
      <vt:lpstr>_109h_F39</vt:lpstr>
      <vt:lpstr>_109h_F40</vt:lpstr>
      <vt:lpstr>_109h_F41</vt:lpstr>
      <vt:lpstr>_109h_F42</vt:lpstr>
      <vt:lpstr>_109h_F43</vt:lpstr>
      <vt:lpstr>_109h_F44</vt:lpstr>
      <vt:lpstr>_109h_F45</vt:lpstr>
      <vt:lpstr>_109h_F46</vt:lpstr>
      <vt:lpstr>_109h_F47</vt:lpstr>
      <vt:lpstr>_109h_F48</vt:lpstr>
      <vt:lpstr>_109h_F49</vt:lpstr>
      <vt:lpstr>_109h_F50</vt:lpstr>
      <vt:lpstr>_109h_F51</vt:lpstr>
      <vt:lpstr>_109h_F53</vt:lpstr>
      <vt:lpstr>_109h_F54</vt:lpstr>
      <vt:lpstr>_109h_F55</vt:lpstr>
      <vt:lpstr>_109h_F56</vt:lpstr>
      <vt:lpstr>_109h_F57</vt:lpstr>
      <vt:lpstr>_109h_F58</vt:lpstr>
      <vt:lpstr>_109h_F59</vt:lpstr>
      <vt:lpstr>_109h_F60</vt:lpstr>
      <vt:lpstr>_109h_F61</vt:lpstr>
      <vt:lpstr>_109h_F62</vt:lpstr>
      <vt:lpstr>_109h_F64</vt:lpstr>
      <vt:lpstr>_109h_F65</vt:lpstr>
      <vt:lpstr>_109h_F7</vt:lpstr>
      <vt:lpstr>_109h_F8</vt:lpstr>
      <vt:lpstr>_109h_F9</vt:lpstr>
      <vt:lpstr>_10h_E10</vt:lpstr>
      <vt:lpstr>_10h_E11</vt:lpstr>
      <vt:lpstr>_10h_E12</vt:lpstr>
      <vt:lpstr>_10h_E13</vt:lpstr>
      <vt:lpstr>_10h_E14</vt:lpstr>
      <vt:lpstr>_10h_E15</vt:lpstr>
      <vt:lpstr>_10h_E16</vt:lpstr>
      <vt:lpstr>_10h_E17</vt:lpstr>
      <vt:lpstr>_10h_E18</vt:lpstr>
      <vt:lpstr>_10h_E19</vt:lpstr>
      <vt:lpstr>_10h_E20</vt:lpstr>
      <vt:lpstr>_10h_E21</vt:lpstr>
      <vt:lpstr>_10h_E22</vt:lpstr>
      <vt:lpstr>_10h_E23</vt:lpstr>
      <vt:lpstr>_10h_E24</vt:lpstr>
      <vt:lpstr>_10h_E25</vt:lpstr>
      <vt:lpstr>_10h_E26</vt:lpstr>
      <vt:lpstr>_10h_E27</vt:lpstr>
      <vt:lpstr>_10h_E28</vt:lpstr>
      <vt:lpstr>_10h_E29</vt:lpstr>
      <vt:lpstr>_10h_E30</vt:lpstr>
      <vt:lpstr>_10h_E31</vt:lpstr>
      <vt:lpstr>_10h_E32</vt:lpstr>
      <vt:lpstr>_10h_E33</vt:lpstr>
      <vt:lpstr>_10h_E34</vt:lpstr>
      <vt:lpstr>_10h_E35</vt:lpstr>
      <vt:lpstr>_10h_E36</vt:lpstr>
      <vt:lpstr>_10h_E37</vt:lpstr>
      <vt:lpstr>_10h_E38</vt:lpstr>
      <vt:lpstr>_10h_E39</vt:lpstr>
      <vt:lpstr>_10h_E40</vt:lpstr>
      <vt:lpstr>_10h_E41</vt:lpstr>
      <vt:lpstr>_10h_E42</vt:lpstr>
      <vt:lpstr>_10h_E43</vt:lpstr>
      <vt:lpstr>_10h_E44</vt:lpstr>
      <vt:lpstr>_10h_E45</vt:lpstr>
      <vt:lpstr>_10h_E46</vt:lpstr>
      <vt:lpstr>_10h_E47</vt:lpstr>
      <vt:lpstr>_10h_E48</vt:lpstr>
      <vt:lpstr>_10h_E49</vt:lpstr>
      <vt:lpstr>_10h_E50</vt:lpstr>
      <vt:lpstr>_10h_E51</vt:lpstr>
      <vt:lpstr>_10h_E53</vt:lpstr>
      <vt:lpstr>_10h_E54</vt:lpstr>
      <vt:lpstr>_10h_E55</vt:lpstr>
      <vt:lpstr>_10h_E56</vt:lpstr>
      <vt:lpstr>_10h_E57</vt:lpstr>
      <vt:lpstr>_10h_E58</vt:lpstr>
      <vt:lpstr>_10h_E59</vt:lpstr>
      <vt:lpstr>_10h_E60</vt:lpstr>
      <vt:lpstr>_10h_E61</vt:lpstr>
      <vt:lpstr>_10h_E62</vt:lpstr>
      <vt:lpstr>_10h_E64</vt:lpstr>
      <vt:lpstr>_10h_E65</vt:lpstr>
      <vt:lpstr>_10h_E7</vt:lpstr>
      <vt:lpstr>_10h_E8</vt:lpstr>
      <vt:lpstr>_10h_E9</vt:lpstr>
      <vt:lpstr>_10h_F10</vt:lpstr>
      <vt:lpstr>_10h_F11</vt:lpstr>
      <vt:lpstr>_10h_F12</vt:lpstr>
      <vt:lpstr>_10h_F13</vt:lpstr>
      <vt:lpstr>_10h_F14</vt:lpstr>
      <vt:lpstr>_10h_F15</vt:lpstr>
      <vt:lpstr>_10h_F16</vt:lpstr>
      <vt:lpstr>_10h_F17</vt:lpstr>
      <vt:lpstr>_10h_F18</vt:lpstr>
      <vt:lpstr>_10h_F19</vt:lpstr>
      <vt:lpstr>_10h_F20</vt:lpstr>
      <vt:lpstr>_10h_F21</vt:lpstr>
      <vt:lpstr>_10h_F22</vt:lpstr>
      <vt:lpstr>_10h_F23</vt:lpstr>
      <vt:lpstr>_10h_F24</vt:lpstr>
      <vt:lpstr>_10h_F25</vt:lpstr>
      <vt:lpstr>_10h_F26</vt:lpstr>
      <vt:lpstr>_10h_F27</vt:lpstr>
      <vt:lpstr>_10h_F28</vt:lpstr>
      <vt:lpstr>_10h_F29</vt:lpstr>
      <vt:lpstr>_10h_F30</vt:lpstr>
      <vt:lpstr>_10h_F31</vt:lpstr>
      <vt:lpstr>_10h_F32</vt:lpstr>
      <vt:lpstr>_10h_F33</vt:lpstr>
      <vt:lpstr>_10h_F34</vt:lpstr>
      <vt:lpstr>_10h_F35</vt:lpstr>
      <vt:lpstr>_10h_F36</vt:lpstr>
      <vt:lpstr>_10h_F37</vt:lpstr>
      <vt:lpstr>_10h_F38</vt:lpstr>
      <vt:lpstr>_10h_F39</vt:lpstr>
      <vt:lpstr>_10h_F40</vt:lpstr>
      <vt:lpstr>_10h_F41</vt:lpstr>
      <vt:lpstr>_10h_F42</vt:lpstr>
      <vt:lpstr>_10h_F43</vt:lpstr>
      <vt:lpstr>_10h_F44</vt:lpstr>
      <vt:lpstr>_10h_F45</vt:lpstr>
      <vt:lpstr>_10h_F46</vt:lpstr>
      <vt:lpstr>_10h_F47</vt:lpstr>
      <vt:lpstr>_10h_F48</vt:lpstr>
      <vt:lpstr>_10h_F49</vt:lpstr>
      <vt:lpstr>_10h_F50</vt:lpstr>
      <vt:lpstr>_10h_F51</vt:lpstr>
      <vt:lpstr>_10h_F53</vt:lpstr>
      <vt:lpstr>_10h_F54</vt:lpstr>
      <vt:lpstr>_10h_F55</vt:lpstr>
      <vt:lpstr>_10h_F56</vt:lpstr>
      <vt:lpstr>_10h_F57</vt:lpstr>
      <vt:lpstr>_10h_F58</vt:lpstr>
      <vt:lpstr>_10h_F59</vt:lpstr>
      <vt:lpstr>_10h_F60</vt:lpstr>
      <vt:lpstr>_10h_F61</vt:lpstr>
      <vt:lpstr>_10h_F62</vt:lpstr>
      <vt:lpstr>_10h_F64</vt:lpstr>
      <vt:lpstr>_10h_F65</vt:lpstr>
      <vt:lpstr>_10h_F7</vt:lpstr>
      <vt:lpstr>_10h_F8</vt:lpstr>
      <vt:lpstr>_10h_F9</vt:lpstr>
      <vt:lpstr>_110h_E10</vt:lpstr>
      <vt:lpstr>_110h_E11</vt:lpstr>
      <vt:lpstr>_110h_E12</vt:lpstr>
      <vt:lpstr>_110h_E13</vt:lpstr>
      <vt:lpstr>_110h_E14</vt:lpstr>
      <vt:lpstr>_110h_E15</vt:lpstr>
      <vt:lpstr>_110h_E16</vt:lpstr>
      <vt:lpstr>_110h_E17</vt:lpstr>
      <vt:lpstr>_110h_E18</vt:lpstr>
      <vt:lpstr>_110h_E19</vt:lpstr>
      <vt:lpstr>_110h_E20</vt:lpstr>
      <vt:lpstr>_110h_E21</vt:lpstr>
      <vt:lpstr>_110h_E22</vt:lpstr>
      <vt:lpstr>_110h_E23</vt:lpstr>
      <vt:lpstr>_110h_E24</vt:lpstr>
      <vt:lpstr>_110h_E25</vt:lpstr>
      <vt:lpstr>_110h_E26</vt:lpstr>
      <vt:lpstr>_110h_E27</vt:lpstr>
      <vt:lpstr>_110h_E28</vt:lpstr>
      <vt:lpstr>_110h_E29</vt:lpstr>
      <vt:lpstr>_110h_E30</vt:lpstr>
      <vt:lpstr>_110h_E31</vt:lpstr>
      <vt:lpstr>_110h_E32</vt:lpstr>
      <vt:lpstr>_110h_E33</vt:lpstr>
      <vt:lpstr>_110h_E34</vt:lpstr>
      <vt:lpstr>_110h_E35</vt:lpstr>
      <vt:lpstr>_110h_E36</vt:lpstr>
      <vt:lpstr>_110h_E37</vt:lpstr>
      <vt:lpstr>_110h_E38</vt:lpstr>
      <vt:lpstr>_110h_E39</vt:lpstr>
      <vt:lpstr>_110h_E40</vt:lpstr>
      <vt:lpstr>_110h_E41</vt:lpstr>
      <vt:lpstr>_110h_E42</vt:lpstr>
      <vt:lpstr>_110h_E43</vt:lpstr>
      <vt:lpstr>_110h_E44</vt:lpstr>
      <vt:lpstr>_110h_E45</vt:lpstr>
      <vt:lpstr>_110h_E46</vt:lpstr>
      <vt:lpstr>_110h_E47</vt:lpstr>
      <vt:lpstr>_110h_E48</vt:lpstr>
      <vt:lpstr>_110h_E49</vt:lpstr>
      <vt:lpstr>_110h_E50</vt:lpstr>
      <vt:lpstr>_110h_E51</vt:lpstr>
      <vt:lpstr>_110h_E53</vt:lpstr>
      <vt:lpstr>_110h_E54</vt:lpstr>
      <vt:lpstr>_110h_E55</vt:lpstr>
      <vt:lpstr>_110h_E56</vt:lpstr>
      <vt:lpstr>_110h_E57</vt:lpstr>
      <vt:lpstr>_110h_E58</vt:lpstr>
      <vt:lpstr>_110h_E59</vt:lpstr>
      <vt:lpstr>_110h_E60</vt:lpstr>
      <vt:lpstr>_110h_E61</vt:lpstr>
      <vt:lpstr>_110h_E62</vt:lpstr>
      <vt:lpstr>_110h_E64</vt:lpstr>
      <vt:lpstr>_110h_E65</vt:lpstr>
      <vt:lpstr>_110h_E7</vt:lpstr>
      <vt:lpstr>_110h_E8</vt:lpstr>
      <vt:lpstr>_110h_E9</vt:lpstr>
      <vt:lpstr>_110h_F10</vt:lpstr>
      <vt:lpstr>_110h_F11</vt:lpstr>
      <vt:lpstr>_110h_F12</vt:lpstr>
      <vt:lpstr>_110h_F13</vt:lpstr>
      <vt:lpstr>_110h_F14</vt:lpstr>
      <vt:lpstr>_110h_F15</vt:lpstr>
      <vt:lpstr>_110h_F16</vt:lpstr>
      <vt:lpstr>_110h_F17</vt:lpstr>
      <vt:lpstr>_110h_F18</vt:lpstr>
      <vt:lpstr>_110h_F19</vt:lpstr>
      <vt:lpstr>_110h_F20</vt:lpstr>
      <vt:lpstr>_110h_F21</vt:lpstr>
      <vt:lpstr>_110h_F22</vt:lpstr>
      <vt:lpstr>_110h_F23</vt:lpstr>
      <vt:lpstr>_110h_F24</vt:lpstr>
      <vt:lpstr>_110h_F25</vt:lpstr>
      <vt:lpstr>_110h_F26</vt:lpstr>
      <vt:lpstr>_110h_F27</vt:lpstr>
      <vt:lpstr>_110h_F28</vt:lpstr>
      <vt:lpstr>_110h_F29</vt:lpstr>
      <vt:lpstr>_110h_F30</vt:lpstr>
      <vt:lpstr>_110h_F31</vt:lpstr>
      <vt:lpstr>_110h_F32</vt:lpstr>
      <vt:lpstr>_110h_F33</vt:lpstr>
      <vt:lpstr>_110h_F34</vt:lpstr>
      <vt:lpstr>_110h_F35</vt:lpstr>
      <vt:lpstr>_110h_F36</vt:lpstr>
      <vt:lpstr>_110h_F37</vt:lpstr>
      <vt:lpstr>_110h_F38</vt:lpstr>
      <vt:lpstr>_110h_F39</vt:lpstr>
      <vt:lpstr>_110h_F40</vt:lpstr>
      <vt:lpstr>_110h_F41</vt:lpstr>
      <vt:lpstr>_110h_F42</vt:lpstr>
      <vt:lpstr>_110h_F43</vt:lpstr>
      <vt:lpstr>_110h_F44</vt:lpstr>
      <vt:lpstr>_110h_F45</vt:lpstr>
      <vt:lpstr>_110h_F46</vt:lpstr>
      <vt:lpstr>_110h_F47</vt:lpstr>
      <vt:lpstr>_110h_F48</vt:lpstr>
      <vt:lpstr>_110h_F49</vt:lpstr>
      <vt:lpstr>_110h_F50</vt:lpstr>
      <vt:lpstr>_110h_F51</vt:lpstr>
      <vt:lpstr>_110h_F53</vt:lpstr>
      <vt:lpstr>_110h_F54</vt:lpstr>
      <vt:lpstr>_110h_F55</vt:lpstr>
      <vt:lpstr>_110h_F56</vt:lpstr>
      <vt:lpstr>_110h_F57</vt:lpstr>
      <vt:lpstr>_110h_F58</vt:lpstr>
      <vt:lpstr>_110h_F59</vt:lpstr>
      <vt:lpstr>_110h_F60</vt:lpstr>
      <vt:lpstr>_110h_F61</vt:lpstr>
      <vt:lpstr>_110h_F62</vt:lpstr>
      <vt:lpstr>_110h_F64</vt:lpstr>
      <vt:lpstr>_110h_F65</vt:lpstr>
      <vt:lpstr>_110h_F7</vt:lpstr>
      <vt:lpstr>_110h_F8</vt:lpstr>
      <vt:lpstr>_110h_F9</vt:lpstr>
      <vt:lpstr>_111h_E10</vt:lpstr>
      <vt:lpstr>_111h_E11</vt:lpstr>
      <vt:lpstr>_111h_E12</vt:lpstr>
      <vt:lpstr>_111h_E13</vt:lpstr>
      <vt:lpstr>_111h_E14</vt:lpstr>
      <vt:lpstr>_111h_E15</vt:lpstr>
      <vt:lpstr>_111h_E16</vt:lpstr>
      <vt:lpstr>_111h_E17</vt:lpstr>
      <vt:lpstr>_111h_E18</vt:lpstr>
      <vt:lpstr>_111h_E19</vt:lpstr>
      <vt:lpstr>_111h_E20</vt:lpstr>
      <vt:lpstr>_111h_E21</vt:lpstr>
      <vt:lpstr>_111h_E22</vt:lpstr>
      <vt:lpstr>_111h_E23</vt:lpstr>
      <vt:lpstr>_111h_E24</vt:lpstr>
      <vt:lpstr>_111h_E25</vt:lpstr>
      <vt:lpstr>_111h_E26</vt:lpstr>
      <vt:lpstr>_111h_E27</vt:lpstr>
      <vt:lpstr>_111h_E28</vt:lpstr>
      <vt:lpstr>_111h_E29</vt:lpstr>
      <vt:lpstr>_111h_E30</vt:lpstr>
      <vt:lpstr>_111h_E31</vt:lpstr>
      <vt:lpstr>_111h_E32</vt:lpstr>
      <vt:lpstr>_111h_E33</vt:lpstr>
      <vt:lpstr>_111h_E34</vt:lpstr>
      <vt:lpstr>_111h_E35</vt:lpstr>
      <vt:lpstr>_111h_E36</vt:lpstr>
      <vt:lpstr>_111h_E37</vt:lpstr>
      <vt:lpstr>_111h_E38</vt:lpstr>
      <vt:lpstr>_111h_E39</vt:lpstr>
      <vt:lpstr>_111h_E40</vt:lpstr>
      <vt:lpstr>_111h_E41</vt:lpstr>
      <vt:lpstr>_111h_E42</vt:lpstr>
      <vt:lpstr>_111h_E43</vt:lpstr>
      <vt:lpstr>_111h_E44</vt:lpstr>
      <vt:lpstr>_111h_E45</vt:lpstr>
      <vt:lpstr>_111h_E46</vt:lpstr>
      <vt:lpstr>_111h_E47</vt:lpstr>
      <vt:lpstr>_111h_E48</vt:lpstr>
      <vt:lpstr>_111h_E49</vt:lpstr>
      <vt:lpstr>_111h_E50</vt:lpstr>
      <vt:lpstr>_111h_E51</vt:lpstr>
      <vt:lpstr>_111h_E53</vt:lpstr>
      <vt:lpstr>_111h_E54</vt:lpstr>
      <vt:lpstr>_111h_E55</vt:lpstr>
      <vt:lpstr>_111h_E56</vt:lpstr>
      <vt:lpstr>_111h_E57</vt:lpstr>
      <vt:lpstr>_111h_E58</vt:lpstr>
      <vt:lpstr>_111h_E59</vt:lpstr>
      <vt:lpstr>_111h_E60</vt:lpstr>
      <vt:lpstr>_111h_E61</vt:lpstr>
      <vt:lpstr>_111h_E62</vt:lpstr>
      <vt:lpstr>_111h_E64</vt:lpstr>
      <vt:lpstr>_111h_E65</vt:lpstr>
      <vt:lpstr>_111h_E7</vt:lpstr>
      <vt:lpstr>_111h_E8</vt:lpstr>
      <vt:lpstr>_111h_E9</vt:lpstr>
      <vt:lpstr>_111h_F10</vt:lpstr>
      <vt:lpstr>_111h_F11</vt:lpstr>
      <vt:lpstr>_111h_F12</vt:lpstr>
      <vt:lpstr>_111h_F13</vt:lpstr>
      <vt:lpstr>_111h_F14</vt:lpstr>
      <vt:lpstr>_111h_F15</vt:lpstr>
      <vt:lpstr>_111h_F16</vt:lpstr>
      <vt:lpstr>_111h_F17</vt:lpstr>
      <vt:lpstr>_111h_F18</vt:lpstr>
      <vt:lpstr>_111h_F19</vt:lpstr>
      <vt:lpstr>_111h_F20</vt:lpstr>
      <vt:lpstr>_111h_F21</vt:lpstr>
      <vt:lpstr>_111h_F22</vt:lpstr>
      <vt:lpstr>_111h_F23</vt:lpstr>
      <vt:lpstr>_111h_F24</vt:lpstr>
      <vt:lpstr>_111h_F25</vt:lpstr>
      <vt:lpstr>_111h_F26</vt:lpstr>
      <vt:lpstr>_111h_F27</vt:lpstr>
      <vt:lpstr>_111h_F28</vt:lpstr>
      <vt:lpstr>_111h_F29</vt:lpstr>
      <vt:lpstr>_111h_F30</vt:lpstr>
      <vt:lpstr>_111h_F31</vt:lpstr>
      <vt:lpstr>_111h_F32</vt:lpstr>
      <vt:lpstr>_111h_F33</vt:lpstr>
      <vt:lpstr>_111h_F34</vt:lpstr>
      <vt:lpstr>_111h_F35</vt:lpstr>
      <vt:lpstr>_111h_F36</vt:lpstr>
      <vt:lpstr>_111h_F37</vt:lpstr>
      <vt:lpstr>_111h_F38</vt:lpstr>
      <vt:lpstr>_111h_F39</vt:lpstr>
      <vt:lpstr>_111h_F40</vt:lpstr>
      <vt:lpstr>_111h_F41</vt:lpstr>
      <vt:lpstr>_111h_F42</vt:lpstr>
      <vt:lpstr>_111h_F43</vt:lpstr>
      <vt:lpstr>_111h_F44</vt:lpstr>
      <vt:lpstr>_111h_F45</vt:lpstr>
      <vt:lpstr>_111h_F46</vt:lpstr>
      <vt:lpstr>_111h_F47</vt:lpstr>
      <vt:lpstr>_111h_F48</vt:lpstr>
      <vt:lpstr>_111h_F49</vt:lpstr>
      <vt:lpstr>_111h_F50</vt:lpstr>
      <vt:lpstr>_111h_F51</vt:lpstr>
      <vt:lpstr>_111h_F53</vt:lpstr>
      <vt:lpstr>_111h_F54</vt:lpstr>
      <vt:lpstr>_111h_F55</vt:lpstr>
      <vt:lpstr>_111h_F56</vt:lpstr>
      <vt:lpstr>_111h_F57</vt:lpstr>
      <vt:lpstr>_111h_F58</vt:lpstr>
      <vt:lpstr>_111h_F59</vt:lpstr>
      <vt:lpstr>_111h_F60</vt:lpstr>
      <vt:lpstr>_111h_F61</vt:lpstr>
      <vt:lpstr>_111h_F62</vt:lpstr>
      <vt:lpstr>_111h_F64</vt:lpstr>
      <vt:lpstr>_111h_F65</vt:lpstr>
      <vt:lpstr>_111h_F7</vt:lpstr>
      <vt:lpstr>_111h_F8</vt:lpstr>
      <vt:lpstr>_111h_F9</vt:lpstr>
      <vt:lpstr>_112h_E10</vt:lpstr>
      <vt:lpstr>_112h_E11</vt:lpstr>
      <vt:lpstr>_112h_E12</vt:lpstr>
      <vt:lpstr>_112h_E13</vt:lpstr>
      <vt:lpstr>_112h_E14</vt:lpstr>
      <vt:lpstr>_112h_E15</vt:lpstr>
      <vt:lpstr>_112h_E16</vt:lpstr>
      <vt:lpstr>_112h_E17</vt:lpstr>
      <vt:lpstr>_112h_E18</vt:lpstr>
      <vt:lpstr>_112h_E19</vt:lpstr>
      <vt:lpstr>_112h_E20</vt:lpstr>
      <vt:lpstr>_112h_E21</vt:lpstr>
      <vt:lpstr>_112h_E22</vt:lpstr>
      <vt:lpstr>_112h_E23</vt:lpstr>
      <vt:lpstr>_112h_E24</vt:lpstr>
      <vt:lpstr>_112h_E25</vt:lpstr>
      <vt:lpstr>_112h_E26</vt:lpstr>
      <vt:lpstr>_112h_E27</vt:lpstr>
      <vt:lpstr>_112h_E28</vt:lpstr>
      <vt:lpstr>_112h_E29</vt:lpstr>
      <vt:lpstr>_112h_E30</vt:lpstr>
      <vt:lpstr>_112h_E31</vt:lpstr>
      <vt:lpstr>_112h_E32</vt:lpstr>
      <vt:lpstr>_112h_E33</vt:lpstr>
      <vt:lpstr>_112h_E34</vt:lpstr>
      <vt:lpstr>_112h_E35</vt:lpstr>
      <vt:lpstr>_112h_E36</vt:lpstr>
      <vt:lpstr>_112h_E37</vt:lpstr>
      <vt:lpstr>_112h_E38</vt:lpstr>
      <vt:lpstr>_112h_E39</vt:lpstr>
      <vt:lpstr>_112h_E40</vt:lpstr>
      <vt:lpstr>_112h_E41</vt:lpstr>
      <vt:lpstr>_112h_E42</vt:lpstr>
      <vt:lpstr>_112h_E43</vt:lpstr>
      <vt:lpstr>_112h_E44</vt:lpstr>
      <vt:lpstr>_112h_E45</vt:lpstr>
      <vt:lpstr>_112h_E46</vt:lpstr>
      <vt:lpstr>_112h_E47</vt:lpstr>
      <vt:lpstr>_112h_E48</vt:lpstr>
      <vt:lpstr>_112h_E49</vt:lpstr>
      <vt:lpstr>_112h_E50</vt:lpstr>
      <vt:lpstr>_112h_E51</vt:lpstr>
      <vt:lpstr>_112h_E53</vt:lpstr>
      <vt:lpstr>_112h_E54</vt:lpstr>
      <vt:lpstr>_112h_E55</vt:lpstr>
      <vt:lpstr>_112h_E56</vt:lpstr>
      <vt:lpstr>_112h_E57</vt:lpstr>
      <vt:lpstr>_112h_E58</vt:lpstr>
      <vt:lpstr>_112h_E59</vt:lpstr>
      <vt:lpstr>_112h_E60</vt:lpstr>
      <vt:lpstr>_112h_E61</vt:lpstr>
      <vt:lpstr>_112h_E62</vt:lpstr>
      <vt:lpstr>_112h_E64</vt:lpstr>
      <vt:lpstr>_112h_E65</vt:lpstr>
      <vt:lpstr>_112h_E7</vt:lpstr>
      <vt:lpstr>_112h_E8</vt:lpstr>
      <vt:lpstr>_112h_E9</vt:lpstr>
      <vt:lpstr>_112h_F10</vt:lpstr>
      <vt:lpstr>_112h_F11</vt:lpstr>
      <vt:lpstr>_112h_F12</vt:lpstr>
      <vt:lpstr>_112h_F13</vt:lpstr>
      <vt:lpstr>_112h_F14</vt:lpstr>
      <vt:lpstr>_112h_F15</vt:lpstr>
      <vt:lpstr>_112h_F16</vt:lpstr>
      <vt:lpstr>_112h_F17</vt:lpstr>
      <vt:lpstr>_112h_F18</vt:lpstr>
      <vt:lpstr>_112h_F19</vt:lpstr>
      <vt:lpstr>_112h_F20</vt:lpstr>
      <vt:lpstr>_112h_F21</vt:lpstr>
      <vt:lpstr>_112h_F22</vt:lpstr>
      <vt:lpstr>_112h_F23</vt:lpstr>
      <vt:lpstr>_112h_F24</vt:lpstr>
      <vt:lpstr>_112h_F25</vt:lpstr>
      <vt:lpstr>_112h_F26</vt:lpstr>
      <vt:lpstr>_112h_F27</vt:lpstr>
      <vt:lpstr>_112h_F28</vt:lpstr>
      <vt:lpstr>_112h_F29</vt:lpstr>
      <vt:lpstr>_112h_F30</vt:lpstr>
      <vt:lpstr>_112h_F31</vt:lpstr>
      <vt:lpstr>_112h_F32</vt:lpstr>
      <vt:lpstr>_112h_F33</vt:lpstr>
      <vt:lpstr>_112h_F34</vt:lpstr>
      <vt:lpstr>_112h_F35</vt:lpstr>
      <vt:lpstr>_112h_F36</vt:lpstr>
      <vt:lpstr>_112h_F37</vt:lpstr>
      <vt:lpstr>_112h_F38</vt:lpstr>
      <vt:lpstr>_112h_F39</vt:lpstr>
      <vt:lpstr>_112h_F40</vt:lpstr>
      <vt:lpstr>_112h_F41</vt:lpstr>
      <vt:lpstr>_112h_F42</vt:lpstr>
      <vt:lpstr>_112h_F43</vt:lpstr>
      <vt:lpstr>_112h_F44</vt:lpstr>
      <vt:lpstr>_112h_F45</vt:lpstr>
      <vt:lpstr>_112h_F46</vt:lpstr>
      <vt:lpstr>_112h_F47</vt:lpstr>
      <vt:lpstr>_112h_F48</vt:lpstr>
      <vt:lpstr>_112h_F49</vt:lpstr>
      <vt:lpstr>_112h_F50</vt:lpstr>
      <vt:lpstr>_112h_F51</vt:lpstr>
      <vt:lpstr>_112h_F53</vt:lpstr>
      <vt:lpstr>_112h_F54</vt:lpstr>
      <vt:lpstr>_112h_F55</vt:lpstr>
      <vt:lpstr>_112h_F56</vt:lpstr>
      <vt:lpstr>_112h_F57</vt:lpstr>
      <vt:lpstr>_112h_F58</vt:lpstr>
      <vt:lpstr>_112h_F59</vt:lpstr>
      <vt:lpstr>_112h_F60</vt:lpstr>
      <vt:lpstr>_112h_F61</vt:lpstr>
      <vt:lpstr>_112h_F62</vt:lpstr>
      <vt:lpstr>_112h_F64</vt:lpstr>
      <vt:lpstr>_112h_F65</vt:lpstr>
      <vt:lpstr>_112h_F7</vt:lpstr>
      <vt:lpstr>_112h_F8</vt:lpstr>
      <vt:lpstr>_112h_F9</vt:lpstr>
      <vt:lpstr>_113h_E10</vt:lpstr>
      <vt:lpstr>_113h_E11</vt:lpstr>
      <vt:lpstr>_113h_E12</vt:lpstr>
      <vt:lpstr>_113h_E13</vt:lpstr>
      <vt:lpstr>_113h_E14</vt:lpstr>
      <vt:lpstr>_113h_E15</vt:lpstr>
      <vt:lpstr>_113h_E16</vt:lpstr>
      <vt:lpstr>_113h_E17</vt:lpstr>
      <vt:lpstr>_113h_E18</vt:lpstr>
      <vt:lpstr>_113h_E19</vt:lpstr>
      <vt:lpstr>_113h_E20</vt:lpstr>
      <vt:lpstr>_113h_E21</vt:lpstr>
      <vt:lpstr>_113h_E22</vt:lpstr>
      <vt:lpstr>_113h_E23</vt:lpstr>
      <vt:lpstr>_113h_E24</vt:lpstr>
      <vt:lpstr>_113h_E25</vt:lpstr>
      <vt:lpstr>_113h_E26</vt:lpstr>
      <vt:lpstr>_113h_E27</vt:lpstr>
      <vt:lpstr>_113h_E28</vt:lpstr>
      <vt:lpstr>_113h_E29</vt:lpstr>
      <vt:lpstr>_113h_E30</vt:lpstr>
      <vt:lpstr>_113h_E31</vt:lpstr>
      <vt:lpstr>_113h_E32</vt:lpstr>
      <vt:lpstr>_113h_E33</vt:lpstr>
      <vt:lpstr>_113h_E34</vt:lpstr>
      <vt:lpstr>_113h_E35</vt:lpstr>
      <vt:lpstr>_113h_E36</vt:lpstr>
      <vt:lpstr>_113h_E37</vt:lpstr>
      <vt:lpstr>_113h_E38</vt:lpstr>
      <vt:lpstr>_113h_E39</vt:lpstr>
      <vt:lpstr>_113h_E40</vt:lpstr>
      <vt:lpstr>_113h_E41</vt:lpstr>
      <vt:lpstr>_113h_E42</vt:lpstr>
      <vt:lpstr>_113h_E43</vt:lpstr>
      <vt:lpstr>_113h_E44</vt:lpstr>
      <vt:lpstr>_113h_E45</vt:lpstr>
      <vt:lpstr>_113h_E46</vt:lpstr>
      <vt:lpstr>_113h_E47</vt:lpstr>
      <vt:lpstr>_113h_E48</vt:lpstr>
      <vt:lpstr>_113h_E49</vt:lpstr>
      <vt:lpstr>_113h_E50</vt:lpstr>
      <vt:lpstr>_113h_E51</vt:lpstr>
      <vt:lpstr>_113h_E53</vt:lpstr>
      <vt:lpstr>_113h_E54</vt:lpstr>
      <vt:lpstr>_113h_E55</vt:lpstr>
      <vt:lpstr>_113h_E56</vt:lpstr>
      <vt:lpstr>_113h_E57</vt:lpstr>
      <vt:lpstr>_113h_E58</vt:lpstr>
      <vt:lpstr>_113h_E59</vt:lpstr>
      <vt:lpstr>_113h_E60</vt:lpstr>
      <vt:lpstr>_113h_E61</vt:lpstr>
      <vt:lpstr>_113h_E62</vt:lpstr>
      <vt:lpstr>_113h_E64</vt:lpstr>
      <vt:lpstr>_113h_E65</vt:lpstr>
      <vt:lpstr>_113h_E7</vt:lpstr>
      <vt:lpstr>_113h_E8</vt:lpstr>
      <vt:lpstr>_113h_E9</vt:lpstr>
      <vt:lpstr>_113h_F10</vt:lpstr>
      <vt:lpstr>_113h_F11</vt:lpstr>
      <vt:lpstr>_113h_F12</vt:lpstr>
      <vt:lpstr>_113h_F13</vt:lpstr>
      <vt:lpstr>_113h_F14</vt:lpstr>
      <vt:lpstr>_113h_F15</vt:lpstr>
      <vt:lpstr>_113h_F16</vt:lpstr>
      <vt:lpstr>_113h_F17</vt:lpstr>
      <vt:lpstr>_113h_F18</vt:lpstr>
      <vt:lpstr>_113h_F19</vt:lpstr>
      <vt:lpstr>_113h_F20</vt:lpstr>
      <vt:lpstr>_113h_F21</vt:lpstr>
      <vt:lpstr>_113h_F22</vt:lpstr>
      <vt:lpstr>_113h_F23</vt:lpstr>
      <vt:lpstr>_113h_F24</vt:lpstr>
      <vt:lpstr>_113h_F25</vt:lpstr>
      <vt:lpstr>_113h_F26</vt:lpstr>
      <vt:lpstr>_113h_F27</vt:lpstr>
      <vt:lpstr>_113h_F28</vt:lpstr>
      <vt:lpstr>_113h_F29</vt:lpstr>
      <vt:lpstr>_113h_F30</vt:lpstr>
      <vt:lpstr>_113h_F31</vt:lpstr>
      <vt:lpstr>_113h_F32</vt:lpstr>
      <vt:lpstr>_113h_F33</vt:lpstr>
      <vt:lpstr>_113h_F34</vt:lpstr>
      <vt:lpstr>_113h_F35</vt:lpstr>
      <vt:lpstr>_113h_F36</vt:lpstr>
      <vt:lpstr>_113h_F37</vt:lpstr>
      <vt:lpstr>_113h_F38</vt:lpstr>
      <vt:lpstr>_113h_F39</vt:lpstr>
      <vt:lpstr>_113h_F40</vt:lpstr>
      <vt:lpstr>_113h_F41</vt:lpstr>
      <vt:lpstr>_113h_F42</vt:lpstr>
      <vt:lpstr>_113h_F43</vt:lpstr>
      <vt:lpstr>_113h_F44</vt:lpstr>
      <vt:lpstr>_113h_F45</vt:lpstr>
      <vt:lpstr>_113h_F46</vt:lpstr>
      <vt:lpstr>_113h_F47</vt:lpstr>
      <vt:lpstr>_113h_F48</vt:lpstr>
      <vt:lpstr>_113h_F49</vt:lpstr>
      <vt:lpstr>_113h_F50</vt:lpstr>
      <vt:lpstr>_113h_F51</vt:lpstr>
      <vt:lpstr>_113h_F53</vt:lpstr>
      <vt:lpstr>_113h_F54</vt:lpstr>
      <vt:lpstr>_113h_F55</vt:lpstr>
      <vt:lpstr>_113h_F56</vt:lpstr>
      <vt:lpstr>_113h_F57</vt:lpstr>
      <vt:lpstr>_113h_F58</vt:lpstr>
      <vt:lpstr>_113h_F59</vt:lpstr>
      <vt:lpstr>_113h_F60</vt:lpstr>
      <vt:lpstr>_113h_F61</vt:lpstr>
      <vt:lpstr>_113h_F62</vt:lpstr>
      <vt:lpstr>_113h_F64</vt:lpstr>
      <vt:lpstr>_113h_F65</vt:lpstr>
      <vt:lpstr>_113h_F7</vt:lpstr>
      <vt:lpstr>_113h_F8</vt:lpstr>
      <vt:lpstr>_113h_F9</vt:lpstr>
      <vt:lpstr>_114h_E10</vt:lpstr>
      <vt:lpstr>_114h_E11</vt:lpstr>
      <vt:lpstr>_114h_E12</vt:lpstr>
      <vt:lpstr>_114h_E13</vt:lpstr>
      <vt:lpstr>_114h_E14</vt:lpstr>
      <vt:lpstr>_114h_E15</vt:lpstr>
      <vt:lpstr>_114h_E16</vt:lpstr>
      <vt:lpstr>_114h_E17</vt:lpstr>
      <vt:lpstr>_114h_E18</vt:lpstr>
      <vt:lpstr>_114h_E19</vt:lpstr>
      <vt:lpstr>_114h_E20</vt:lpstr>
      <vt:lpstr>_114h_E21</vt:lpstr>
      <vt:lpstr>_114h_E22</vt:lpstr>
      <vt:lpstr>_114h_E23</vt:lpstr>
      <vt:lpstr>_114h_E24</vt:lpstr>
      <vt:lpstr>_114h_E25</vt:lpstr>
      <vt:lpstr>_114h_E26</vt:lpstr>
      <vt:lpstr>_114h_E27</vt:lpstr>
      <vt:lpstr>_114h_E28</vt:lpstr>
      <vt:lpstr>_114h_E29</vt:lpstr>
      <vt:lpstr>_114h_E30</vt:lpstr>
      <vt:lpstr>_114h_E31</vt:lpstr>
      <vt:lpstr>_114h_E32</vt:lpstr>
      <vt:lpstr>_114h_E33</vt:lpstr>
      <vt:lpstr>_114h_E34</vt:lpstr>
      <vt:lpstr>_114h_E35</vt:lpstr>
      <vt:lpstr>_114h_E36</vt:lpstr>
      <vt:lpstr>_114h_E37</vt:lpstr>
      <vt:lpstr>_114h_E38</vt:lpstr>
      <vt:lpstr>_114h_E39</vt:lpstr>
      <vt:lpstr>_114h_E40</vt:lpstr>
      <vt:lpstr>_114h_E41</vt:lpstr>
      <vt:lpstr>_114h_E42</vt:lpstr>
      <vt:lpstr>_114h_E43</vt:lpstr>
      <vt:lpstr>_114h_E44</vt:lpstr>
      <vt:lpstr>_114h_E45</vt:lpstr>
      <vt:lpstr>_114h_E46</vt:lpstr>
      <vt:lpstr>_114h_E47</vt:lpstr>
      <vt:lpstr>_114h_E48</vt:lpstr>
      <vt:lpstr>_114h_E49</vt:lpstr>
      <vt:lpstr>_114h_E50</vt:lpstr>
      <vt:lpstr>_114h_E51</vt:lpstr>
      <vt:lpstr>_114h_E53</vt:lpstr>
      <vt:lpstr>_114h_E54</vt:lpstr>
      <vt:lpstr>_114h_E55</vt:lpstr>
      <vt:lpstr>_114h_E56</vt:lpstr>
      <vt:lpstr>_114h_E57</vt:lpstr>
      <vt:lpstr>_114h_E58</vt:lpstr>
      <vt:lpstr>_114h_E59</vt:lpstr>
      <vt:lpstr>_114h_E60</vt:lpstr>
      <vt:lpstr>_114h_E61</vt:lpstr>
      <vt:lpstr>_114h_E62</vt:lpstr>
      <vt:lpstr>_114h_E64</vt:lpstr>
      <vt:lpstr>_114h_E65</vt:lpstr>
      <vt:lpstr>_114h_E7</vt:lpstr>
      <vt:lpstr>_114h_E8</vt:lpstr>
      <vt:lpstr>_114h_E9</vt:lpstr>
      <vt:lpstr>_114h_F10</vt:lpstr>
      <vt:lpstr>_114h_F11</vt:lpstr>
      <vt:lpstr>_114h_F12</vt:lpstr>
      <vt:lpstr>_114h_F13</vt:lpstr>
      <vt:lpstr>_114h_F14</vt:lpstr>
      <vt:lpstr>_114h_F15</vt:lpstr>
      <vt:lpstr>_114h_F16</vt:lpstr>
      <vt:lpstr>_114h_F17</vt:lpstr>
      <vt:lpstr>_114h_F18</vt:lpstr>
      <vt:lpstr>_114h_F19</vt:lpstr>
      <vt:lpstr>_114h_F20</vt:lpstr>
      <vt:lpstr>_114h_F21</vt:lpstr>
      <vt:lpstr>_114h_F22</vt:lpstr>
      <vt:lpstr>_114h_F23</vt:lpstr>
      <vt:lpstr>_114h_F24</vt:lpstr>
      <vt:lpstr>_114h_F25</vt:lpstr>
      <vt:lpstr>_114h_F26</vt:lpstr>
      <vt:lpstr>_114h_F27</vt:lpstr>
      <vt:lpstr>_114h_F28</vt:lpstr>
      <vt:lpstr>_114h_F29</vt:lpstr>
      <vt:lpstr>_114h_F30</vt:lpstr>
      <vt:lpstr>_114h_F31</vt:lpstr>
      <vt:lpstr>_114h_F32</vt:lpstr>
      <vt:lpstr>_114h_F33</vt:lpstr>
      <vt:lpstr>_114h_F34</vt:lpstr>
      <vt:lpstr>_114h_F35</vt:lpstr>
      <vt:lpstr>_114h_F36</vt:lpstr>
      <vt:lpstr>_114h_F37</vt:lpstr>
      <vt:lpstr>_114h_F38</vt:lpstr>
      <vt:lpstr>_114h_F39</vt:lpstr>
      <vt:lpstr>_114h_F40</vt:lpstr>
      <vt:lpstr>_114h_F41</vt:lpstr>
      <vt:lpstr>_114h_F42</vt:lpstr>
      <vt:lpstr>_114h_F43</vt:lpstr>
      <vt:lpstr>_114h_F44</vt:lpstr>
      <vt:lpstr>_114h_F45</vt:lpstr>
      <vt:lpstr>_114h_F46</vt:lpstr>
      <vt:lpstr>_114h_F47</vt:lpstr>
      <vt:lpstr>_114h_F48</vt:lpstr>
      <vt:lpstr>_114h_F49</vt:lpstr>
      <vt:lpstr>_114h_F50</vt:lpstr>
      <vt:lpstr>_114h_F51</vt:lpstr>
      <vt:lpstr>_114h_F53</vt:lpstr>
      <vt:lpstr>_114h_F54</vt:lpstr>
      <vt:lpstr>_114h_F55</vt:lpstr>
      <vt:lpstr>_114h_F56</vt:lpstr>
      <vt:lpstr>_114h_F57</vt:lpstr>
      <vt:lpstr>_114h_F58</vt:lpstr>
      <vt:lpstr>_114h_F59</vt:lpstr>
      <vt:lpstr>_114h_F60</vt:lpstr>
      <vt:lpstr>_114h_F61</vt:lpstr>
      <vt:lpstr>_114h_F62</vt:lpstr>
      <vt:lpstr>_114h_F64</vt:lpstr>
      <vt:lpstr>_114h_F65</vt:lpstr>
      <vt:lpstr>_114h_F7</vt:lpstr>
      <vt:lpstr>_114h_F8</vt:lpstr>
      <vt:lpstr>_114h_F9</vt:lpstr>
      <vt:lpstr>_115h_E10</vt:lpstr>
      <vt:lpstr>_115h_E11</vt:lpstr>
      <vt:lpstr>_115h_E12</vt:lpstr>
      <vt:lpstr>_115h_E13</vt:lpstr>
      <vt:lpstr>_115h_E14</vt:lpstr>
      <vt:lpstr>_115h_E15</vt:lpstr>
      <vt:lpstr>_115h_E16</vt:lpstr>
      <vt:lpstr>_115h_E17</vt:lpstr>
      <vt:lpstr>_115h_E18</vt:lpstr>
      <vt:lpstr>_115h_E19</vt:lpstr>
      <vt:lpstr>_115h_E20</vt:lpstr>
      <vt:lpstr>_115h_E21</vt:lpstr>
      <vt:lpstr>_115h_E22</vt:lpstr>
      <vt:lpstr>_115h_E23</vt:lpstr>
      <vt:lpstr>_115h_E24</vt:lpstr>
      <vt:lpstr>_115h_E25</vt:lpstr>
      <vt:lpstr>_115h_E26</vt:lpstr>
      <vt:lpstr>_115h_E27</vt:lpstr>
      <vt:lpstr>_115h_E28</vt:lpstr>
      <vt:lpstr>_115h_E29</vt:lpstr>
      <vt:lpstr>_115h_E30</vt:lpstr>
      <vt:lpstr>_115h_E31</vt:lpstr>
      <vt:lpstr>_115h_E32</vt:lpstr>
      <vt:lpstr>_115h_E33</vt:lpstr>
      <vt:lpstr>_115h_E34</vt:lpstr>
      <vt:lpstr>_115h_E35</vt:lpstr>
      <vt:lpstr>_115h_E36</vt:lpstr>
      <vt:lpstr>_115h_E37</vt:lpstr>
      <vt:lpstr>_115h_E38</vt:lpstr>
      <vt:lpstr>_115h_E39</vt:lpstr>
      <vt:lpstr>_115h_E40</vt:lpstr>
      <vt:lpstr>_115h_E41</vt:lpstr>
      <vt:lpstr>_115h_E42</vt:lpstr>
      <vt:lpstr>_115h_E43</vt:lpstr>
      <vt:lpstr>_115h_E44</vt:lpstr>
      <vt:lpstr>_115h_E45</vt:lpstr>
      <vt:lpstr>_115h_E46</vt:lpstr>
      <vt:lpstr>_115h_E47</vt:lpstr>
      <vt:lpstr>_115h_E48</vt:lpstr>
      <vt:lpstr>_115h_E49</vt:lpstr>
      <vt:lpstr>_115h_E50</vt:lpstr>
      <vt:lpstr>_115h_E51</vt:lpstr>
      <vt:lpstr>_115h_E53</vt:lpstr>
      <vt:lpstr>_115h_E54</vt:lpstr>
      <vt:lpstr>_115h_E55</vt:lpstr>
      <vt:lpstr>_115h_E56</vt:lpstr>
      <vt:lpstr>_115h_E57</vt:lpstr>
      <vt:lpstr>_115h_E58</vt:lpstr>
      <vt:lpstr>_115h_E59</vt:lpstr>
      <vt:lpstr>_115h_E60</vt:lpstr>
      <vt:lpstr>_115h_E61</vt:lpstr>
      <vt:lpstr>_115h_E62</vt:lpstr>
      <vt:lpstr>_115h_E64</vt:lpstr>
      <vt:lpstr>_115h_E65</vt:lpstr>
      <vt:lpstr>_115h_E7</vt:lpstr>
      <vt:lpstr>_115h_E8</vt:lpstr>
      <vt:lpstr>_115h_E9</vt:lpstr>
      <vt:lpstr>_115h_F10</vt:lpstr>
      <vt:lpstr>_115h_F11</vt:lpstr>
      <vt:lpstr>_115h_F12</vt:lpstr>
      <vt:lpstr>_115h_F13</vt:lpstr>
      <vt:lpstr>_115h_F14</vt:lpstr>
      <vt:lpstr>_115h_F15</vt:lpstr>
      <vt:lpstr>_115h_F16</vt:lpstr>
      <vt:lpstr>_115h_F17</vt:lpstr>
      <vt:lpstr>_115h_F18</vt:lpstr>
      <vt:lpstr>_115h_F19</vt:lpstr>
      <vt:lpstr>_115h_F20</vt:lpstr>
      <vt:lpstr>_115h_F21</vt:lpstr>
      <vt:lpstr>_115h_F22</vt:lpstr>
      <vt:lpstr>_115h_F23</vt:lpstr>
      <vt:lpstr>_115h_F24</vt:lpstr>
      <vt:lpstr>_115h_F25</vt:lpstr>
      <vt:lpstr>_115h_F26</vt:lpstr>
      <vt:lpstr>_115h_F27</vt:lpstr>
      <vt:lpstr>_115h_F28</vt:lpstr>
      <vt:lpstr>_115h_F29</vt:lpstr>
      <vt:lpstr>_115h_F30</vt:lpstr>
      <vt:lpstr>_115h_F31</vt:lpstr>
      <vt:lpstr>_115h_F32</vt:lpstr>
      <vt:lpstr>_115h_F33</vt:lpstr>
      <vt:lpstr>_115h_F34</vt:lpstr>
      <vt:lpstr>_115h_F35</vt:lpstr>
      <vt:lpstr>_115h_F36</vt:lpstr>
      <vt:lpstr>_115h_F37</vt:lpstr>
      <vt:lpstr>_115h_F38</vt:lpstr>
      <vt:lpstr>_115h_F39</vt:lpstr>
      <vt:lpstr>_115h_F40</vt:lpstr>
      <vt:lpstr>_115h_F41</vt:lpstr>
      <vt:lpstr>_115h_F42</vt:lpstr>
      <vt:lpstr>_115h_F43</vt:lpstr>
      <vt:lpstr>_115h_F44</vt:lpstr>
      <vt:lpstr>_115h_F45</vt:lpstr>
      <vt:lpstr>_115h_F46</vt:lpstr>
      <vt:lpstr>_115h_F47</vt:lpstr>
      <vt:lpstr>_115h_F48</vt:lpstr>
      <vt:lpstr>_115h_F49</vt:lpstr>
      <vt:lpstr>_115h_F50</vt:lpstr>
      <vt:lpstr>_115h_F51</vt:lpstr>
      <vt:lpstr>_115h_F53</vt:lpstr>
      <vt:lpstr>_115h_F54</vt:lpstr>
      <vt:lpstr>_115h_F55</vt:lpstr>
      <vt:lpstr>_115h_F56</vt:lpstr>
      <vt:lpstr>_115h_F57</vt:lpstr>
      <vt:lpstr>_115h_F58</vt:lpstr>
      <vt:lpstr>_115h_F59</vt:lpstr>
      <vt:lpstr>_115h_F60</vt:lpstr>
      <vt:lpstr>_115h_F61</vt:lpstr>
      <vt:lpstr>_115h_F62</vt:lpstr>
      <vt:lpstr>_115h_F64</vt:lpstr>
      <vt:lpstr>_115h_F65</vt:lpstr>
      <vt:lpstr>_115h_F7</vt:lpstr>
      <vt:lpstr>_115h_F8</vt:lpstr>
      <vt:lpstr>_115h_F9</vt:lpstr>
      <vt:lpstr>_116h_E10</vt:lpstr>
      <vt:lpstr>_116h_E11</vt:lpstr>
      <vt:lpstr>_116h_E12</vt:lpstr>
      <vt:lpstr>_116h_E13</vt:lpstr>
      <vt:lpstr>_116h_E14</vt:lpstr>
      <vt:lpstr>_116h_E15</vt:lpstr>
      <vt:lpstr>_116h_E16</vt:lpstr>
      <vt:lpstr>_116h_E17</vt:lpstr>
      <vt:lpstr>_116h_E18</vt:lpstr>
      <vt:lpstr>_116h_E19</vt:lpstr>
      <vt:lpstr>_116h_E20</vt:lpstr>
      <vt:lpstr>_116h_E21</vt:lpstr>
      <vt:lpstr>_116h_E22</vt:lpstr>
      <vt:lpstr>_116h_E23</vt:lpstr>
      <vt:lpstr>_116h_E24</vt:lpstr>
      <vt:lpstr>_116h_E25</vt:lpstr>
      <vt:lpstr>_116h_E26</vt:lpstr>
      <vt:lpstr>_116h_E27</vt:lpstr>
      <vt:lpstr>_116h_E28</vt:lpstr>
      <vt:lpstr>_116h_E29</vt:lpstr>
      <vt:lpstr>_116h_E30</vt:lpstr>
      <vt:lpstr>_116h_E31</vt:lpstr>
      <vt:lpstr>_116h_E32</vt:lpstr>
      <vt:lpstr>_116h_E33</vt:lpstr>
      <vt:lpstr>_116h_E34</vt:lpstr>
      <vt:lpstr>_116h_E35</vt:lpstr>
      <vt:lpstr>_116h_E36</vt:lpstr>
      <vt:lpstr>_116h_E37</vt:lpstr>
      <vt:lpstr>_116h_E38</vt:lpstr>
      <vt:lpstr>_116h_E39</vt:lpstr>
      <vt:lpstr>_116h_E40</vt:lpstr>
      <vt:lpstr>_116h_E41</vt:lpstr>
      <vt:lpstr>_116h_E42</vt:lpstr>
      <vt:lpstr>_116h_E43</vt:lpstr>
      <vt:lpstr>_116h_E44</vt:lpstr>
      <vt:lpstr>_116h_E45</vt:lpstr>
      <vt:lpstr>_116h_E46</vt:lpstr>
      <vt:lpstr>_116h_E47</vt:lpstr>
      <vt:lpstr>_116h_E48</vt:lpstr>
      <vt:lpstr>_116h_E49</vt:lpstr>
      <vt:lpstr>_116h_E50</vt:lpstr>
      <vt:lpstr>_116h_E51</vt:lpstr>
      <vt:lpstr>_116h_E53</vt:lpstr>
      <vt:lpstr>_116h_E54</vt:lpstr>
      <vt:lpstr>_116h_E55</vt:lpstr>
      <vt:lpstr>_116h_E56</vt:lpstr>
      <vt:lpstr>_116h_E57</vt:lpstr>
      <vt:lpstr>_116h_E58</vt:lpstr>
      <vt:lpstr>_116h_E59</vt:lpstr>
      <vt:lpstr>_116h_E60</vt:lpstr>
      <vt:lpstr>_116h_E61</vt:lpstr>
      <vt:lpstr>_116h_E62</vt:lpstr>
      <vt:lpstr>_116h_E64</vt:lpstr>
      <vt:lpstr>_116h_E65</vt:lpstr>
      <vt:lpstr>_116h_E7</vt:lpstr>
      <vt:lpstr>_116h_E8</vt:lpstr>
      <vt:lpstr>_116h_E9</vt:lpstr>
      <vt:lpstr>_116h_F10</vt:lpstr>
      <vt:lpstr>_116h_F11</vt:lpstr>
      <vt:lpstr>_116h_F12</vt:lpstr>
      <vt:lpstr>_116h_F13</vt:lpstr>
      <vt:lpstr>_116h_F14</vt:lpstr>
      <vt:lpstr>_116h_F15</vt:lpstr>
      <vt:lpstr>_116h_F16</vt:lpstr>
      <vt:lpstr>_116h_F17</vt:lpstr>
      <vt:lpstr>_116h_F18</vt:lpstr>
      <vt:lpstr>_116h_F19</vt:lpstr>
      <vt:lpstr>_116h_F20</vt:lpstr>
      <vt:lpstr>_116h_F21</vt:lpstr>
      <vt:lpstr>_116h_F22</vt:lpstr>
      <vt:lpstr>_116h_F23</vt:lpstr>
      <vt:lpstr>_116h_F24</vt:lpstr>
      <vt:lpstr>_116h_F25</vt:lpstr>
      <vt:lpstr>_116h_F26</vt:lpstr>
      <vt:lpstr>_116h_F27</vt:lpstr>
      <vt:lpstr>_116h_F28</vt:lpstr>
      <vt:lpstr>_116h_F29</vt:lpstr>
      <vt:lpstr>_116h_F30</vt:lpstr>
      <vt:lpstr>_116h_F31</vt:lpstr>
      <vt:lpstr>_116h_F32</vt:lpstr>
      <vt:lpstr>_116h_F33</vt:lpstr>
      <vt:lpstr>_116h_F34</vt:lpstr>
      <vt:lpstr>_116h_F35</vt:lpstr>
      <vt:lpstr>_116h_F36</vt:lpstr>
      <vt:lpstr>_116h_F37</vt:lpstr>
      <vt:lpstr>_116h_F38</vt:lpstr>
      <vt:lpstr>_116h_F39</vt:lpstr>
      <vt:lpstr>_116h_F40</vt:lpstr>
      <vt:lpstr>_116h_F41</vt:lpstr>
      <vt:lpstr>_116h_F42</vt:lpstr>
      <vt:lpstr>_116h_F43</vt:lpstr>
      <vt:lpstr>_116h_F44</vt:lpstr>
      <vt:lpstr>_116h_F45</vt:lpstr>
      <vt:lpstr>_116h_F46</vt:lpstr>
      <vt:lpstr>_116h_F47</vt:lpstr>
      <vt:lpstr>_116h_F48</vt:lpstr>
      <vt:lpstr>_116h_F49</vt:lpstr>
      <vt:lpstr>_116h_F50</vt:lpstr>
      <vt:lpstr>_116h_F51</vt:lpstr>
      <vt:lpstr>_116h_F53</vt:lpstr>
      <vt:lpstr>_116h_F54</vt:lpstr>
      <vt:lpstr>_116h_F55</vt:lpstr>
      <vt:lpstr>_116h_F56</vt:lpstr>
      <vt:lpstr>_116h_F57</vt:lpstr>
      <vt:lpstr>_116h_F58</vt:lpstr>
      <vt:lpstr>_116h_F59</vt:lpstr>
      <vt:lpstr>_116h_F60</vt:lpstr>
      <vt:lpstr>_116h_F61</vt:lpstr>
      <vt:lpstr>_116h_F62</vt:lpstr>
      <vt:lpstr>_116h_F64</vt:lpstr>
      <vt:lpstr>_116h_F65</vt:lpstr>
      <vt:lpstr>_116h_F7</vt:lpstr>
      <vt:lpstr>_116h_F8</vt:lpstr>
      <vt:lpstr>_116h_F9</vt:lpstr>
      <vt:lpstr>_117h_E10</vt:lpstr>
      <vt:lpstr>_117h_E11</vt:lpstr>
      <vt:lpstr>_117h_E12</vt:lpstr>
      <vt:lpstr>_117h_E13</vt:lpstr>
      <vt:lpstr>_117h_E14</vt:lpstr>
      <vt:lpstr>_117h_E15</vt:lpstr>
      <vt:lpstr>_117h_E16</vt:lpstr>
      <vt:lpstr>_117h_E17</vt:lpstr>
      <vt:lpstr>_117h_E18</vt:lpstr>
      <vt:lpstr>_117h_E19</vt:lpstr>
      <vt:lpstr>_117h_E20</vt:lpstr>
      <vt:lpstr>_117h_E21</vt:lpstr>
      <vt:lpstr>_117h_E22</vt:lpstr>
      <vt:lpstr>_117h_E23</vt:lpstr>
      <vt:lpstr>_117h_E24</vt:lpstr>
      <vt:lpstr>_117h_E25</vt:lpstr>
      <vt:lpstr>_117h_E26</vt:lpstr>
      <vt:lpstr>_117h_E27</vt:lpstr>
      <vt:lpstr>_117h_E28</vt:lpstr>
      <vt:lpstr>_117h_E29</vt:lpstr>
      <vt:lpstr>_117h_E30</vt:lpstr>
      <vt:lpstr>_117h_E31</vt:lpstr>
      <vt:lpstr>_117h_E32</vt:lpstr>
      <vt:lpstr>_117h_E33</vt:lpstr>
      <vt:lpstr>_117h_E34</vt:lpstr>
      <vt:lpstr>_117h_E35</vt:lpstr>
      <vt:lpstr>_117h_E36</vt:lpstr>
      <vt:lpstr>_117h_E37</vt:lpstr>
      <vt:lpstr>_117h_E38</vt:lpstr>
      <vt:lpstr>_117h_E39</vt:lpstr>
      <vt:lpstr>_117h_E40</vt:lpstr>
      <vt:lpstr>_117h_E41</vt:lpstr>
      <vt:lpstr>_117h_E42</vt:lpstr>
      <vt:lpstr>_117h_E43</vt:lpstr>
      <vt:lpstr>_117h_E44</vt:lpstr>
      <vt:lpstr>_117h_E45</vt:lpstr>
      <vt:lpstr>_117h_E46</vt:lpstr>
      <vt:lpstr>_117h_E47</vt:lpstr>
      <vt:lpstr>_117h_E48</vt:lpstr>
      <vt:lpstr>_117h_E49</vt:lpstr>
      <vt:lpstr>_117h_E50</vt:lpstr>
      <vt:lpstr>_117h_E51</vt:lpstr>
      <vt:lpstr>_117h_E53</vt:lpstr>
      <vt:lpstr>_117h_E54</vt:lpstr>
      <vt:lpstr>_117h_E55</vt:lpstr>
      <vt:lpstr>_117h_E56</vt:lpstr>
      <vt:lpstr>_117h_E57</vt:lpstr>
      <vt:lpstr>_117h_E58</vt:lpstr>
      <vt:lpstr>_117h_E59</vt:lpstr>
      <vt:lpstr>_117h_E60</vt:lpstr>
      <vt:lpstr>_117h_E61</vt:lpstr>
      <vt:lpstr>_117h_E62</vt:lpstr>
      <vt:lpstr>_117h_E64</vt:lpstr>
      <vt:lpstr>_117h_E65</vt:lpstr>
      <vt:lpstr>_117h_E7</vt:lpstr>
      <vt:lpstr>_117h_E8</vt:lpstr>
      <vt:lpstr>_117h_E9</vt:lpstr>
      <vt:lpstr>_117h_F10</vt:lpstr>
      <vt:lpstr>_117h_F11</vt:lpstr>
      <vt:lpstr>_117h_F12</vt:lpstr>
      <vt:lpstr>_117h_F13</vt:lpstr>
      <vt:lpstr>_117h_F14</vt:lpstr>
      <vt:lpstr>_117h_F15</vt:lpstr>
      <vt:lpstr>_117h_F16</vt:lpstr>
      <vt:lpstr>_117h_F17</vt:lpstr>
      <vt:lpstr>_117h_F18</vt:lpstr>
      <vt:lpstr>_117h_F19</vt:lpstr>
      <vt:lpstr>_117h_F20</vt:lpstr>
      <vt:lpstr>_117h_F21</vt:lpstr>
      <vt:lpstr>_117h_F22</vt:lpstr>
      <vt:lpstr>_117h_F23</vt:lpstr>
      <vt:lpstr>_117h_F24</vt:lpstr>
      <vt:lpstr>_117h_F25</vt:lpstr>
      <vt:lpstr>_117h_F26</vt:lpstr>
      <vt:lpstr>_117h_F27</vt:lpstr>
      <vt:lpstr>_117h_F28</vt:lpstr>
      <vt:lpstr>_117h_F29</vt:lpstr>
      <vt:lpstr>_117h_F30</vt:lpstr>
      <vt:lpstr>_117h_F31</vt:lpstr>
      <vt:lpstr>_117h_F32</vt:lpstr>
      <vt:lpstr>_117h_F33</vt:lpstr>
      <vt:lpstr>_117h_F34</vt:lpstr>
      <vt:lpstr>_117h_F35</vt:lpstr>
      <vt:lpstr>_117h_F36</vt:lpstr>
      <vt:lpstr>_117h_F37</vt:lpstr>
      <vt:lpstr>_117h_F38</vt:lpstr>
      <vt:lpstr>_117h_F39</vt:lpstr>
      <vt:lpstr>_117h_F40</vt:lpstr>
      <vt:lpstr>_117h_F41</vt:lpstr>
      <vt:lpstr>_117h_F42</vt:lpstr>
      <vt:lpstr>_117h_F43</vt:lpstr>
      <vt:lpstr>_117h_F44</vt:lpstr>
      <vt:lpstr>_117h_F45</vt:lpstr>
      <vt:lpstr>_117h_F46</vt:lpstr>
      <vt:lpstr>_117h_F47</vt:lpstr>
      <vt:lpstr>_117h_F48</vt:lpstr>
      <vt:lpstr>_117h_F49</vt:lpstr>
      <vt:lpstr>_117h_F50</vt:lpstr>
      <vt:lpstr>_117h_F51</vt:lpstr>
      <vt:lpstr>_117h_F53</vt:lpstr>
      <vt:lpstr>_117h_F54</vt:lpstr>
      <vt:lpstr>_117h_F55</vt:lpstr>
      <vt:lpstr>_117h_F56</vt:lpstr>
      <vt:lpstr>_117h_F57</vt:lpstr>
      <vt:lpstr>_117h_F58</vt:lpstr>
      <vt:lpstr>_117h_F59</vt:lpstr>
      <vt:lpstr>_117h_F60</vt:lpstr>
      <vt:lpstr>_117h_F61</vt:lpstr>
      <vt:lpstr>_117h_F62</vt:lpstr>
      <vt:lpstr>_117h_F64</vt:lpstr>
      <vt:lpstr>_117h_F65</vt:lpstr>
      <vt:lpstr>_117h_F7</vt:lpstr>
      <vt:lpstr>_117h_F8</vt:lpstr>
      <vt:lpstr>_117h_F9</vt:lpstr>
      <vt:lpstr>_118h_E10</vt:lpstr>
      <vt:lpstr>_118h_E11</vt:lpstr>
      <vt:lpstr>_118h_E12</vt:lpstr>
      <vt:lpstr>_118h_E13</vt:lpstr>
      <vt:lpstr>_118h_E14</vt:lpstr>
      <vt:lpstr>_118h_E15</vt:lpstr>
      <vt:lpstr>_118h_E16</vt:lpstr>
      <vt:lpstr>_118h_E17</vt:lpstr>
      <vt:lpstr>_118h_E18</vt:lpstr>
      <vt:lpstr>_118h_E19</vt:lpstr>
      <vt:lpstr>_118h_E20</vt:lpstr>
      <vt:lpstr>_118h_E21</vt:lpstr>
      <vt:lpstr>_118h_E22</vt:lpstr>
      <vt:lpstr>_118h_E23</vt:lpstr>
      <vt:lpstr>_118h_E24</vt:lpstr>
      <vt:lpstr>_118h_E25</vt:lpstr>
      <vt:lpstr>_118h_E26</vt:lpstr>
      <vt:lpstr>_118h_E27</vt:lpstr>
      <vt:lpstr>_118h_E28</vt:lpstr>
      <vt:lpstr>_118h_E29</vt:lpstr>
      <vt:lpstr>_118h_E30</vt:lpstr>
      <vt:lpstr>_118h_E31</vt:lpstr>
      <vt:lpstr>_118h_E32</vt:lpstr>
      <vt:lpstr>_118h_E33</vt:lpstr>
      <vt:lpstr>_118h_E34</vt:lpstr>
      <vt:lpstr>_118h_E35</vt:lpstr>
      <vt:lpstr>_118h_E36</vt:lpstr>
      <vt:lpstr>_118h_E37</vt:lpstr>
      <vt:lpstr>_118h_E38</vt:lpstr>
      <vt:lpstr>_118h_E39</vt:lpstr>
      <vt:lpstr>_118h_E40</vt:lpstr>
      <vt:lpstr>_118h_E41</vt:lpstr>
      <vt:lpstr>_118h_E42</vt:lpstr>
      <vt:lpstr>_118h_E43</vt:lpstr>
      <vt:lpstr>_118h_E44</vt:lpstr>
      <vt:lpstr>_118h_E45</vt:lpstr>
      <vt:lpstr>_118h_E46</vt:lpstr>
      <vt:lpstr>_118h_E47</vt:lpstr>
      <vt:lpstr>_118h_E48</vt:lpstr>
      <vt:lpstr>_118h_E49</vt:lpstr>
      <vt:lpstr>_118h_E50</vt:lpstr>
      <vt:lpstr>_118h_E51</vt:lpstr>
      <vt:lpstr>_118h_E53</vt:lpstr>
      <vt:lpstr>_118h_E54</vt:lpstr>
      <vt:lpstr>_118h_E55</vt:lpstr>
      <vt:lpstr>_118h_E56</vt:lpstr>
      <vt:lpstr>_118h_E57</vt:lpstr>
      <vt:lpstr>_118h_E58</vt:lpstr>
      <vt:lpstr>_118h_E59</vt:lpstr>
      <vt:lpstr>_118h_E60</vt:lpstr>
      <vt:lpstr>_118h_E61</vt:lpstr>
      <vt:lpstr>_118h_E62</vt:lpstr>
      <vt:lpstr>_118h_E64</vt:lpstr>
      <vt:lpstr>_118h_E65</vt:lpstr>
      <vt:lpstr>_118h_E7</vt:lpstr>
      <vt:lpstr>_118h_E8</vt:lpstr>
      <vt:lpstr>_118h_E9</vt:lpstr>
      <vt:lpstr>_118h_F10</vt:lpstr>
      <vt:lpstr>_118h_F11</vt:lpstr>
      <vt:lpstr>_118h_F12</vt:lpstr>
      <vt:lpstr>_118h_F13</vt:lpstr>
      <vt:lpstr>_118h_F14</vt:lpstr>
      <vt:lpstr>_118h_F15</vt:lpstr>
      <vt:lpstr>_118h_F16</vt:lpstr>
      <vt:lpstr>_118h_F17</vt:lpstr>
      <vt:lpstr>_118h_F18</vt:lpstr>
      <vt:lpstr>_118h_F19</vt:lpstr>
      <vt:lpstr>_118h_F20</vt:lpstr>
      <vt:lpstr>_118h_F21</vt:lpstr>
      <vt:lpstr>_118h_F22</vt:lpstr>
      <vt:lpstr>_118h_F23</vt:lpstr>
      <vt:lpstr>_118h_F24</vt:lpstr>
      <vt:lpstr>_118h_F25</vt:lpstr>
      <vt:lpstr>_118h_F26</vt:lpstr>
      <vt:lpstr>_118h_F27</vt:lpstr>
      <vt:lpstr>_118h_F28</vt:lpstr>
      <vt:lpstr>_118h_F29</vt:lpstr>
      <vt:lpstr>_118h_F30</vt:lpstr>
      <vt:lpstr>_118h_F31</vt:lpstr>
      <vt:lpstr>_118h_F32</vt:lpstr>
      <vt:lpstr>_118h_F33</vt:lpstr>
      <vt:lpstr>_118h_F34</vt:lpstr>
      <vt:lpstr>_118h_F35</vt:lpstr>
      <vt:lpstr>_118h_F36</vt:lpstr>
      <vt:lpstr>_118h_F37</vt:lpstr>
      <vt:lpstr>_118h_F38</vt:lpstr>
      <vt:lpstr>_118h_F39</vt:lpstr>
      <vt:lpstr>_118h_F40</vt:lpstr>
      <vt:lpstr>_118h_F41</vt:lpstr>
      <vt:lpstr>_118h_F42</vt:lpstr>
      <vt:lpstr>_118h_F43</vt:lpstr>
      <vt:lpstr>_118h_F44</vt:lpstr>
      <vt:lpstr>_118h_F45</vt:lpstr>
      <vt:lpstr>_118h_F46</vt:lpstr>
      <vt:lpstr>_118h_F47</vt:lpstr>
      <vt:lpstr>_118h_F48</vt:lpstr>
      <vt:lpstr>_118h_F49</vt:lpstr>
      <vt:lpstr>_118h_F50</vt:lpstr>
      <vt:lpstr>_118h_F51</vt:lpstr>
      <vt:lpstr>_118h_F53</vt:lpstr>
      <vt:lpstr>_118h_F54</vt:lpstr>
      <vt:lpstr>_118h_F55</vt:lpstr>
      <vt:lpstr>_118h_F56</vt:lpstr>
      <vt:lpstr>_118h_F57</vt:lpstr>
      <vt:lpstr>_118h_F58</vt:lpstr>
      <vt:lpstr>_118h_F59</vt:lpstr>
      <vt:lpstr>_118h_F60</vt:lpstr>
      <vt:lpstr>_118h_F61</vt:lpstr>
      <vt:lpstr>_118h_F62</vt:lpstr>
      <vt:lpstr>_118h_F64</vt:lpstr>
      <vt:lpstr>_118h_F65</vt:lpstr>
      <vt:lpstr>_118h_F7</vt:lpstr>
      <vt:lpstr>_118h_F8</vt:lpstr>
      <vt:lpstr>_118h_F9</vt:lpstr>
      <vt:lpstr>_119h_E10</vt:lpstr>
      <vt:lpstr>_119h_E11</vt:lpstr>
      <vt:lpstr>_119h_E12</vt:lpstr>
      <vt:lpstr>_119h_E13</vt:lpstr>
      <vt:lpstr>_119h_E14</vt:lpstr>
      <vt:lpstr>_119h_E15</vt:lpstr>
      <vt:lpstr>_119h_E16</vt:lpstr>
      <vt:lpstr>_119h_E17</vt:lpstr>
      <vt:lpstr>_119h_E18</vt:lpstr>
      <vt:lpstr>_119h_E19</vt:lpstr>
      <vt:lpstr>_119h_E20</vt:lpstr>
      <vt:lpstr>_119h_E21</vt:lpstr>
      <vt:lpstr>_119h_E22</vt:lpstr>
      <vt:lpstr>_119h_E23</vt:lpstr>
      <vt:lpstr>_119h_E24</vt:lpstr>
      <vt:lpstr>_119h_E25</vt:lpstr>
      <vt:lpstr>_119h_E26</vt:lpstr>
      <vt:lpstr>_119h_E27</vt:lpstr>
      <vt:lpstr>_119h_E28</vt:lpstr>
      <vt:lpstr>_119h_E29</vt:lpstr>
      <vt:lpstr>_119h_E30</vt:lpstr>
      <vt:lpstr>_119h_E31</vt:lpstr>
      <vt:lpstr>_119h_E32</vt:lpstr>
      <vt:lpstr>_119h_E33</vt:lpstr>
      <vt:lpstr>_119h_E34</vt:lpstr>
      <vt:lpstr>_119h_E35</vt:lpstr>
      <vt:lpstr>_119h_E36</vt:lpstr>
      <vt:lpstr>_119h_E37</vt:lpstr>
      <vt:lpstr>_119h_E38</vt:lpstr>
      <vt:lpstr>_119h_E39</vt:lpstr>
      <vt:lpstr>_119h_E40</vt:lpstr>
      <vt:lpstr>_119h_E41</vt:lpstr>
      <vt:lpstr>_119h_E42</vt:lpstr>
      <vt:lpstr>_119h_E43</vt:lpstr>
      <vt:lpstr>_119h_E44</vt:lpstr>
      <vt:lpstr>_119h_E45</vt:lpstr>
      <vt:lpstr>_119h_E46</vt:lpstr>
      <vt:lpstr>_119h_E47</vt:lpstr>
      <vt:lpstr>_119h_E48</vt:lpstr>
      <vt:lpstr>_119h_E49</vt:lpstr>
      <vt:lpstr>_119h_E50</vt:lpstr>
      <vt:lpstr>_119h_E51</vt:lpstr>
      <vt:lpstr>_119h_E53</vt:lpstr>
      <vt:lpstr>_119h_E54</vt:lpstr>
      <vt:lpstr>_119h_E55</vt:lpstr>
      <vt:lpstr>_119h_E56</vt:lpstr>
      <vt:lpstr>_119h_E57</vt:lpstr>
      <vt:lpstr>_119h_E58</vt:lpstr>
      <vt:lpstr>_119h_E59</vt:lpstr>
      <vt:lpstr>_119h_E60</vt:lpstr>
      <vt:lpstr>_119h_E61</vt:lpstr>
      <vt:lpstr>_119h_E62</vt:lpstr>
      <vt:lpstr>_119h_E64</vt:lpstr>
      <vt:lpstr>_119h_E65</vt:lpstr>
      <vt:lpstr>_119h_E7</vt:lpstr>
      <vt:lpstr>_119h_E8</vt:lpstr>
      <vt:lpstr>_119h_E9</vt:lpstr>
      <vt:lpstr>_119h_F10</vt:lpstr>
      <vt:lpstr>_119h_F11</vt:lpstr>
      <vt:lpstr>_119h_F12</vt:lpstr>
      <vt:lpstr>_119h_F13</vt:lpstr>
      <vt:lpstr>_119h_F14</vt:lpstr>
      <vt:lpstr>_119h_F15</vt:lpstr>
      <vt:lpstr>_119h_F16</vt:lpstr>
      <vt:lpstr>_119h_F17</vt:lpstr>
      <vt:lpstr>_119h_F18</vt:lpstr>
      <vt:lpstr>_119h_F19</vt:lpstr>
      <vt:lpstr>_119h_F20</vt:lpstr>
      <vt:lpstr>_119h_F21</vt:lpstr>
      <vt:lpstr>_119h_F22</vt:lpstr>
      <vt:lpstr>_119h_F23</vt:lpstr>
      <vt:lpstr>_119h_F24</vt:lpstr>
      <vt:lpstr>_119h_F25</vt:lpstr>
      <vt:lpstr>_119h_F26</vt:lpstr>
      <vt:lpstr>_119h_F27</vt:lpstr>
      <vt:lpstr>_119h_F28</vt:lpstr>
      <vt:lpstr>_119h_F29</vt:lpstr>
      <vt:lpstr>_119h_F30</vt:lpstr>
      <vt:lpstr>_119h_F31</vt:lpstr>
      <vt:lpstr>_119h_F32</vt:lpstr>
      <vt:lpstr>_119h_F33</vt:lpstr>
      <vt:lpstr>_119h_F34</vt:lpstr>
      <vt:lpstr>_119h_F35</vt:lpstr>
      <vt:lpstr>_119h_F36</vt:lpstr>
      <vt:lpstr>_119h_F37</vt:lpstr>
      <vt:lpstr>_119h_F38</vt:lpstr>
      <vt:lpstr>_119h_F39</vt:lpstr>
      <vt:lpstr>_119h_F40</vt:lpstr>
      <vt:lpstr>_119h_F41</vt:lpstr>
      <vt:lpstr>_119h_F42</vt:lpstr>
      <vt:lpstr>_119h_F43</vt:lpstr>
      <vt:lpstr>_119h_F44</vt:lpstr>
      <vt:lpstr>_119h_F45</vt:lpstr>
      <vt:lpstr>_119h_F46</vt:lpstr>
      <vt:lpstr>_119h_F47</vt:lpstr>
      <vt:lpstr>_119h_F48</vt:lpstr>
      <vt:lpstr>_119h_F49</vt:lpstr>
      <vt:lpstr>_119h_F50</vt:lpstr>
      <vt:lpstr>_119h_F51</vt:lpstr>
      <vt:lpstr>_119h_F53</vt:lpstr>
      <vt:lpstr>_119h_F54</vt:lpstr>
      <vt:lpstr>_119h_F55</vt:lpstr>
      <vt:lpstr>_119h_F56</vt:lpstr>
      <vt:lpstr>_119h_F57</vt:lpstr>
      <vt:lpstr>_119h_F58</vt:lpstr>
      <vt:lpstr>_119h_F59</vt:lpstr>
      <vt:lpstr>_119h_F60</vt:lpstr>
      <vt:lpstr>_119h_F61</vt:lpstr>
      <vt:lpstr>_119h_F62</vt:lpstr>
      <vt:lpstr>_119h_F64</vt:lpstr>
      <vt:lpstr>_119h_F65</vt:lpstr>
      <vt:lpstr>_119h_F7</vt:lpstr>
      <vt:lpstr>_119h_F8</vt:lpstr>
      <vt:lpstr>_119h_F9</vt:lpstr>
      <vt:lpstr>_11h_E10</vt:lpstr>
      <vt:lpstr>_11h_E11</vt:lpstr>
      <vt:lpstr>_11h_E12</vt:lpstr>
      <vt:lpstr>_11h_E13</vt:lpstr>
      <vt:lpstr>_11h_E14</vt:lpstr>
      <vt:lpstr>_11h_E15</vt:lpstr>
      <vt:lpstr>_11h_E16</vt:lpstr>
      <vt:lpstr>_11h_E17</vt:lpstr>
      <vt:lpstr>_11h_E18</vt:lpstr>
      <vt:lpstr>_11h_E19</vt:lpstr>
      <vt:lpstr>_11h_E20</vt:lpstr>
      <vt:lpstr>_11h_E21</vt:lpstr>
      <vt:lpstr>_11h_E22</vt:lpstr>
      <vt:lpstr>_11h_E23</vt:lpstr>
      <vt:lpstr>_11h_E24</vt:lpstr>
      <vt:lpstr>_11h_E25</vt:lpstr>
      <vt:lpstr>_11h_E26</vt:lpstr>
      <vt:lpstr>_11h_E27</vt:lpstr>
      <vt:lpstr>_11h_E28</vt:lpstr>
      <vt:lpstr>_11h_E29</vt:lpstr>
      <vt:lpstr>_11h_E30</vt:lpstr>
      <vt:lpstr>_11h_E31</vt:lpstr>
      <vt:lpstr>_11h_E32</vt:lpstr>
      <vt:lpstr>_11h_E33</vt:lpstr>
      <vt:lpstr>_11h_E34</vt:lpstr>
      <vt:lpstr>_11h_E35</vt:lpstr>
      <vt:lpstr>_11h_E36</vt:lpstr>
      <vt:lpstr>_11h_E37</vt:lpstr>
      <vt:lpstr>_11h_E38</vt:lpstr>
      <vt:lpstr>_11h_E39</vt:lpstr>
      <vt:lpstr>_11h_E40</vt:lpstr>
      <vt:lpstr>_11h_E41</vt:lpstr>
      <vt:lpstr>_11h_E42</vt:lpstr>
      <vt:lpstr>_11h_E43</vt:lpstr>
      <vt:lpstr>_11h_E44</vt:lpstr>
      <vt:lpstr>_11h_E45</vt:lpstr>
      <vt:lpstr>_11h_E46</vt:lpstr>
      <vt:lpstr>_11h_E47</vt:lpstr>
      <vt:lpstr>_11h_E48</vt:lpstr>
      <vt:lpstr>_11h_E49</vt:lpstr>
      <vt:lpstr>_11h_E50</vt:lpstr>
      <vt:lpstr>_11h_E51</vt:lpstr>
      <vt:lpstr>_11h_E53</vt:lpstr>
      <vt:lpstr>_11h_E54</vt:lpstr>
      <vt:lpstr>_11h_E55</vt:lpstr>
      <vt:lpstr>_11h_E56</vt:lpstr>
      <vt:lpstr>_11h_E57</vt:lpstr>
      <vt:lpstr>_11h_E58</vt:lpstr>
      <vt:lpstr>_11h_E59</vt:lpstr>
      <vt:lpstr>_11h_E60</vt:lpstr>
      <vt:lpstr>_11h_E61</vt:lpstr>
      <vt:lpstr>_11h_E62</vt:lpstr>
      <vt:lpstr>_11h_E64</vt:lpstr>
      <vt:lpstr>_11h_E65</vt:lpstr>
      <vt:lpstr>_11h_E7</vt:lpstr>
      <vt:lpstr>_11h_E8</vt:lpstr>
      <vt:lpstr>_11h_E9</vt:lpstr>
      <vt:lpstr>_11h_F10</vt:lpstr>
      <vt:lpstr>_11h_F11</vt:lpstr>
      <vt:lpstr>_11h_F12</vt:lpstr>
      <vt:lpstr>_11h_F13</vt:lpstr>
      <vt:lpstr>_11h_F14</vt:lpstr>
      <vt:lpstr>_11h_F15</vt:lpstr>
      <vt:lpstr>_11h_F16</vt:lpstr>
      <vt:lpstr>_11h_F17</vt:lpstr>
      <vt:lpstr>_11h_F18</vt:lpstr>
      <vt:lpstr>_11h_F19</vt:lpstr>
      <vt:lpstr>_11h_F20</vt:lpstr>
      <vt:lpstr>_11h_F21</vt:lpstr>
      <vt:lpstr>_11h_F22</vt:lpstr>
      <vt:lpstr>_11h_F23</vt:lpstr>
      <vt:lpstr>_11h_F24</vt:lpstr>
      <vt:lpstr>_11h_F25</vt:lpstr>
      <vt:lpstr>_11h_F26</vt:lpstr>
      <vt:lpstr>_11h_F27</vt:lpstr>
      <vt:lpstr>_11h_F28</vt:lpstr>
      <vt:lpstr>_11h_F29</vt:lpstr>
      <vt:lpstr>_11h_F30</vt:lpstr>
      <vt:lpstr>_11h_F31</vt:lpstr>
      <vt:lpstr>_11h_F32</vt:lpstr>
      <vt:lpstr>_11h_F33</vt:lpstr>
      <vt:lpstr>_11h_F34</vt:lpstr>
      <vt:lpstr>_11h_F35</vt:lpstr>
      <vt:lpstr>_11h_F36</vt:lpstr>
      <vt:lpstr>_11h_F37</vt:lpstr>
      <vt:lpstr>_11h_F38</vt:lpstr>
      <vt:lpstr>_11h_F39</vt:lpstr>
      <vt:lpstr>_11h_F40</vt:lpstr>
      <vt:lpstr>_11h_F41</vt:lpstr>
      <vt:lpstr>_11h_F42</vt:lpstr>
      <vt:lpstr>_11h_F43</vt:lpstr>
      <vt:lpstr>_11h_F44</vt:lpstr>
      <vt:lpstr>_11h_F45</vt:lpstr>
      <vt:lpstr>_11h_F46</vt:lpstr>
      <vt:lpstr>_11h_F47</vt:lpstr>
      <vt:lpstr>_11h_F48</vt:lpstr>
      <vt:lpstr>_11h_F49</vt:lpstr>
      <vt:lpstr>_11h_F50</vt:lpstr>
      <vt:lpstr>_11h_F51</vt:lpstr>
      <vt:lpstr>_11h_F53</vt:lpstr>
      <vt:lpstr>_11h_F54</vt:lpstr>
      <vt:lpstr>_11h_F55</vt:lpstr>
      <vt:lpstr>_11h_F56</vt:lpstr>
      <vt:lpstr>_11h_F57</vt:lpstr>
      <vt:lpstr>_11h_F58</vt:lpstr>
      <vt:lpstr>_11h_F59</vt:lpstr>
      <vt:lpstr>_11h_F60</vt:lpstr>
      <vt:lpstr>_11h_F61</vt:lpstr>
      <vt:lpstr>_11h_F62</vt:lpstr>
      <vt:lpstr>_11h_F64</vt:lpstr>
      <vt:lpstr>_11h_F65</vt:lpstr>
      <vt:lpstr>_11h_F7</vt:lpstr>
      <vt:lpstr>_11h_F8</vt:lpstr>
      <vt:lpstr>_11h_F9</vt:lpstr>
      <vt:lpstr>_120h_E10</vt:lpstr>
      <vt:lpstr>_120h_E11</vt:lpstr>
      <vt:lpstr>_120h_E12</vt:lpstr>
      <vt:lpstr>_120h_E13</vt:lpstr>
      <vt:lpstr>_120h_E14</vt:lpstr>
      <vt:lpstr>_120h_E15</vt:lpstr>
      <vt:lpstr>_120h_E16</vt:lpstr>
      <vt:lpstr>_120h_E17</vt:lpstr>
      <vt:lpstr>_120h_E18</vt:lpstr>
      <vt:lpstr>_120h_E19</vt:lpstr>
      <vt:lpstr>_120h_E20</vt:lpstr>
      <vt:lpstr>_120h_E21</vt:lpstr>
      <vt:lpstr>_120h_E22</vt:lpstr>
      <vt:lpstr>_120h_E23</vt:lpstr>
      <vt:lpstr>_120h_E24</vt:lpstr>
      <vt:lpstr>_120h_E25</vt:lpstr>
      <vt:lpstr>_120h_E26</vt:lpstr>
      <vt:lpstr>_120h_E27</vt:lpstr>
      <vt:lpstr>_120h_E28</vt:lpstr>
      <vt:lpstr>_120h_E29</vt:lpstr>
      <vt:lpstr>_120h_E30</vt:lpstr>
      <vt:lpstr>_120h_E31</vt:lpstr>
      <vt:lpstr>_120h_E32</vt:lpstr>
      <vt:lpstr>_120h_E33</vt:lpstr>
      <vt:lpstr>_120h_E34</vt:lpstr>
      <vt:lpstr>_120h_E35</vt:lpstr>
      <vt:lpstr>_120h_E36</vt:lpstr>
      <vt:lpstr>_120h_E37</vt:lpstr>
      <vt:lpstr>_120h_E38</vt:lpstr>
      <vt:lpstr>_120h_E39</vt:lpstr>
      <vt:lpstr>_120h_E40</vt:lpstr>
      <vt:lpstr>_120h_E41</vt:lpstr>
      <vt:lpstr>_120h_E42</vt:lpstr>
      <vt:lpstr>_120h_E43</vt:lpstr>
      <vt:lpstr>_120h_E44</vt:lpstr>
      <vt:lpstr>_120h_E45</vt:lpstr>
      <vt:lpstr>_120h_E46</vt:lpstr>
      <vt:lpstr>_120h_E47</vt:lpstr>
      <vt:lpstr>_120h_E48</vt:lpstr>
      <vt:lpstr>_120h_E49</vt:lpstr>
      <vt:lpstr>_120h_E50</vt:lpstr>
      <vt:lpstr>_120h_E51</vt:lpstr>
      <vt:lpstr>_120h_E53</vt:lpstr>
      <vt:lpstr>_120h_E54</vt:lpstr>
      <vt:lpstr>_120h_E55</vt:lpstr>
      <vt:lpstr>_120h_E56</vt:lpstr>
      <vt:lpstr>_120h_E57</vt:lpstr>
      <vt:lpstr>_120h_E58</vt:lpstr>
      <vt:lpstr>_120h_E59</vt:lpstr>
      <vt:lpstr>_120h_E60</vt:lpstr>
      <vt:lpstr>_120h_E61</vt:lpstr>
      <vt:lpstr>_120h_E62</vt:lpstr>
      <vt:lpstr>_120h_E64</vt:lpstr>
      <vt:lpstr>_120h_E65</vt:lpstr>
      <vt:lpstr>_120h_E7</vt:lpstr>
      <vt:lpstr>_120h_E8</vt:lpstr>
      <vt:lpstr>_120h_E9</vt:lpstr>
      <vt:lpstr>_120h_F10</vt:lpstr>
      <vt:lpstr>_120h_F11</vt:lpstr>
      <vt:lpstr>_120h_F12</vt:lpstr>
      <vt:lpstr>_120h_F13</vt:lpstr>
      <vt:lpstr>_120h_F14</vt:lpstr>
      <vt:lpstr>_120h_F15</vt:lpstr>
      <vt:lpstr>_120h_F16</vt:lpstr>
      <vt:lpstr>_120h_F17</vt:lpstr>
      <vt:lpstr>_120h_F18</vt:lpstr>
      <vt:lpstr>_120h_F19</vt:lpstr>
      <vt:lpstr>_120h_F20</vt:lpstr>
      <vt:lpstr>_120h_F21</vt:lpstr>
      <vt:lpstr>_120h_F22</vt:lpstr>
      <vt:lpstr>_120h_F23</vt:lpstr>
      <vt:lpstr>_120h_F24</vt:lpstr>
      <vt:lpstr>_120h_F25</vt:lpstr>
      <vt:lpstr>_120h_F26</vt:lpstr>
      <vt:lpstr>_120h_F27</vt:lpstr>
      <vt:lpstr>_120h_F28</vt:lpstr>
      <vt:lpstr>_120h_F29</vt:lpstr>
      <vt:lpstr>_120h_F30</vt:lpstr>
      <vt:lpstr>_120h_F31</vt:lpstr>
      <vt:lpstr>_120h_F32</vt:lpstr>
      <vt:lpstr>_120h_F33</vt:lpstr>
      <vt:lpstr>_120h_F34</vt:lpstr>
      <vt:lpstr>_120h_F35</vt:lpstr>
      <vt:lpstr>_120h_F36</vt:lpstr>
      <vt:lpstr>_120h_F37</vt:lpstr>
      <vt:lpstr>_120h_F38</vt:lpstr>
      <vt:lpstr>_120h_F39</vt:lpstr>
      <vt:lpstr>_120h_F40</vt:lpstr>
      <vt:lpstr>_120h_F41</vt:lpstr>
      <vt:lpstr>_120h_F42</vt:lpstr>
      <vt:lpstr>_120h_F43</vt:lpstr>
      <vt:lpstr>_120h_F44</vt:lpstr>
      <vt:lpstr>_120h_F45</vt:lpstr>
      <vt:lpstr>_120h_F46</vt:lpstr>
      <vt:lpstr>_120h_F47</vt:lpstr>
      <vt:lpstr>_120h_F48</vt:lpstr>
      <vt:lpstr>_120h_F49</vt:lpstr>
      <vt:lpstr>_120h_F50</vt:lpstr>
      <vt:lpstr>_120h_F51</vt:lpstr>
      <vt:lpstr>_120h_F53</vt:lpstr>
      <vt:lpstr>_120h_F54</vt:lpstr>
      <vt:lpstr>_120h_F55</vt:lpstr>
      <vt:lpstr>_120h_F56</vt:lpstr>
      <vt:lpstr>_120h_F57</vt:lpstr>
      <vt:lpstr>_120h_F58</vt:lpstr>
      <vt:lpstr>_120h_F59</vt:lpstr>
      <vt:lpstr>_120h_F60</vt:lpstr>
      <vt:lpstr>_120h_F61</vt:lpstr>
      <vt:lpstr>_120h_F62</vt:lpstr>
      <vt:lpstr>_120h_F64</vt:lpstr>
      <vt:lpstr>_120h_F65</vt:lpstr>
      <vt:lpstr>_120h_F7</vt:lpstr>
      <vt:lpstr>_120h_F8</vt:lpstr>
      <vt:lpstr>_120h_F9</vt:lpstr>
      <vt:lpstr>_121h_E10</vt:lpstr>
      <vt:lpstr>_121h_E11</vt:lpstr>
      <vt:lpstr>_121h_E12</vt:lpstr>
      <vt:lpstr>_121h_E13</vt:lpstr>
      <vt:lpstr>_121h_E14</vt:lpstr>
      <vt:lpstr>_121h_E15</vt:lpstr>
      <vt:lpstr>_121h_E16</vt:lpstr>
      <vt:lpstr>_121h_E17</vt:lpstr>
      <vt:lpstr>_121h_E18</vt:lpstr>
      <vt:lpstr>_121h_E19</vt:lpstr>
      <vt:lpstr>_121h_E20</vt:lpstr>
      <vt:lpstr>_121h_E21</vt:lpstr>
      <vt:lpstr>_121h_E22</vt:lpstr>
      <vt:lpstr>_121h_E23</vt:lpstr>
      <vt:lpstr>_121h_E24</vt:lpstr>
      <vt:lpstr>_121h_E25</vt:lpstr>
      <vt:lpstr>_121h_E26</vt:lpstr>
      <vt:lpstr>_121h_E27</vt:lpstr>
      <vt:lpstr>_121h_E28</vt:lpstr>
      <vt:lpstr>_121h_E29</vt:lpstr>
      <vt:lpstr>_121h_E30</vt:lpstr>
      <vt:lpstr>_121h_E31</vt:lpstr>
      <vt:lpstr>_121h_E32</vt:lpstr>
      <vt:lpstr>_121h_E33</vt:lpstr>
      <vt:lpstr>_121h_E34</vt:lpstr>
      <vt:lpstr>_121h_E35</vt:lpstr>
      <vt:lpstr>_121h_E36</vt:lpstr>
      <vt:lpstr>_121h_E37</vt:lpstr>
      <vt:lpstr>_121h_E38</vt:lpstr>
      <vt:lpstr>_121h_E39</vt:lpstr>
      <vt:lpstr>_121h_E40</vt:lpstr>
      <vt:lpstr>_121h_E41</vt:lpstr>
      <vt:lpstr>_121h_E42</vt:lpstr>
      <vt:lpstr>_121h_E43</vt:lpstr>
      <vt:lpstr>_121h_E44</vt:lpstr>
      <vt:lpstr>_121h_E45</vt:lpstr>
      <vt:lpstr>_121h_E46</vt:lpstr>
      <vt:lpstr>_121h_E47</vt:lpstr>
      <vt:lpstr>_121h_E48</vt:lpstr>
      <vt:lpstr>_121h_E49</vt:lpstr>
      <vt:lpstr>_121h_E50</vt:lpstr>
      <vt:lpstr>_121h_E51</vt:lpstr>
      <vt:lpstr>_121h_E53</vt:lpstr>
      <vt:lpstr>_121h_E54</vt:lpstr>
      <vt:lpstr>_121h_E55</vt:lpstr>
      <vt:lpstr>_121h_E56</vt:lpstr>
      <vt:lpstr>_121h_E57</vt:lpstr>
      <vt:lpstr>_121h_E58</vt:lpstr>
      <vt:lpstr>_121h_E59</vt:lpstr>
      <vt:lpstr>_121h_E60</vt:lpstr>
      <vt:lpstr>_121h_E61</vt:lpstr>
      <vt:lpstr>_121h_E62</vt:lpstr>
      <vt:lpstr>_121h_E64</vt:lpstr>
      <vt:lpstr>_121h_E65</vt:lpstr>
      <vt:lpstr>_121h_E7</vt:lpstr>
      <vt:lpstr>_121h_E8</vt:lpstr>
      <vt:lpstr>_121h_E9</vt:lpstr>
      <vt:lpstr>_121h_F10</vt:lpstr>
      <vt:lpstr>_121h_F11</vt:lpstr>
      <vt:lpstr>_121h_F12</vt:lpstr>
      <vt:lpstr>_121h_F13</vt:lpstr>
      <vt:lpstr>_121h_F14</vt:lpstr>
      <vt:lpstr>_121h_F15</vt:lpstr>
      <vt:lpstr>_121h_F16</vt:lpstr>
      <vt:lpstr>_121h_F17</vt:lpstr>
      <vt:lpstr>_121h_F18</vt:lpstr>
      <vt:lpstr>_121h_F19</vt:lpstr>
      <vt:lpstr>_121h_F20</vt:lpstr>
      <vt:lpstr>_121h_F21</vt:lpstr>
      <vt:lpstr>_121h_F22</vt:lpstr>
      <vt:lpstr>_121h_F23</vt:lpstr>
      <vt:lpstr>_121h_F24</vt:lpstr>
      <vt:lpstr>_121h_F25</vt:lpstr>
      <vt:lpstr>_121h_F26</vt:lpstr>
      <vt:lpstr>_121h_F27</vt:lpstr>
      <vt:lpstr>_121h_F28</vt:lpstr>
      <vt:lpstr>_121h_F29</vt:lpstr>
      <vt:lpstr>_121h_F30</vt:lpstr>
      <vt:lpstr>_121h_F31</vt:lpstr>
      <vt:lpstr>_121h_F32</vt:lpstr>
      <vt:lpstr>_121h_F33</vt:lpstr>
      <vt:lpstr>_121h_F34</vt:lpstr>
      <vt:lpstr>_121h_F35</vt:lpstr>
      <vt:lpstr>_121h_F36</vt:lpstr>
      <vt:lpstr>_121h_F37</vt:lpstr>
      <vt:lpstr>_121h_F38</vt:lpstr>
      <vt:lpstr>_121h_F39</vt:lpstr>
      <vt:lpstr>_121h_F40</vt:lpstr>
      <vt:lpstr>_121h_F41</vt:lpstr>
      <vt:lpstr>_121h_F42</vt:lpstr>
      <vt:lpstr>_121h_F43</vt:lpstr>
      <vt:lpstr>_121h_F44</vt:lpstr>
      <vt:lpstr>_121h_F45</vt:lpstr>
      <vt:lpstr>_121h_F46</vt:lpstr>
      <vt:lpstr>_121h_F47</vt:lpstr>
      <vt:lpstr>_121h_F48</vt:lpstr>
      <vt:lpstr>_121h_F49</vt:lpstr>
      <vt:lpstr>_121h_F50</vt:lpstr>
      <vt:lpstr>_121h_F51</vt:lpstr>
      <vt:lpstr>_121h_F53</vt:lpstr>
      <vt:lpstr>_121h_F54</vt:lpstr>
      <vt:lpstr>_121h_F55</vt:lpstr>
      <vt:lpstr>_121h_F56</vt:lpstr>
      <vt:lpstr>_121h_F57</vt:lpstr>
      <vt:lpstr>_121h_F58</vt:lpstr>
      <vt:lpstr>_121h_F59</vt:lpstr>
      <vt:lpstr>_121h_F60</vt:lpstr>
      <vt:lpstr>_121h_F61</vt:lpstr>
      <vt:lpstr>_121h_F62</vt:lpstr>
      <vt:lpstr>_121h_F64</vt:lpstr>
      <vt:lpstr>_121h_F65</vt:lpstr>
      <vt:lpstr>_121h_F7</vt:lpstr>
      <vt:lpstr>_121h_F8</vt:lpstr>
      <vt:lpstr>_121h_F9</vt:lpstr>
      <vt:lpstr>_122h_E10</vt:lpstr>
      <vt:lpstr>_122h_E11</vt:lpstr>
      <vt:lpstr>_122h_E12</vt:lpstr>
      <vt:lpstr>_122h_E13</vt:lpstr>
      <vt:lpstr>_122h_E14</vt:lpstr>
      <vt:lpstr>_122h_E15</vt:lpstr>
      <vt:lpstr>_122h_E16</vt:lpstr>
      <vt:lpstr>_122h_E17</vt:lpstr>
      <vt:lpstr>_122h_E18</vt:lpstr>
      <vt:lpstr>_122h_E19</vt:lpstr>
      <vt:lpstr>_122h_E20</vt:lpstr>
      <vt:lpstr>_122h_E21</vt:lpstr>
      <vt:lpstr>_122h_E22</vt:lpstr>
      <vt:lpstr>_122h_E23</vt:lpstr>
      <vt:lpstr>_122h_E24</vt:lpstr>
      <vt:lpstr>_122h_E25</vt:lpstr>
      <vt:lpstr>_122h_E26</vt:lpstr>
      <vt:lpstr>_122h_E27</vt:lpstr>
      <vt:lpstr>_122h_E28</vt:lpstr>
      <vt:lpstr>_122h_E29</vt:lpstr>
      <vt:lpstr>_122h_E30</vt:lpstr>
      <vt:lpstr>_122h_E31</vt:lpstr>
      <vt:lpstr>_122h_E32</vt:lpstr>
      <vt:lpstr>_122h_E33</vt:lpstr>
      <vt:lpstr>_122h_E34</vt:lpstr>
      <vt:lpstr>_122h_E35</vt:lpstr>
      <vt:lpstr>_122h_E36</vt:lpstr>
      <vt:lpstr>_122h_E37</vt:lpstr>
      <vt:lpstr>_122h_E38</vt:lpstr>
      <vt:lpstr>_122h_E39</vt:lpstr>
      <vt:lpstr>_122h_E40</vt:lpstr>
      <vt:lpstr>_122h_E41</vt:lpstr>
      <vt:lpstr>_122h_E42</vt:lpstr>
      <vt:lpstr>_122h_E43</vt:lpstr>
      <vt:lpstr>_122h_E44</vt:lpstr>
      <vt:lpstr>_122h_E45</vt:lpstr>
      <vt:lpstr>_122h_E46</vt:lpstr>
      <vt:lpstr>_122h_E47</vt:lpstr>
      <vt:lpstr>_122h_E48</vt:lpstr>
      <vt:lpstr>_122h_E49</vt:lpstr>
      <vt:lpstr>_122h_E50</vt:lpstr>
      <vt:lpstr>_122h_E51</vt:lpstr>
      <vt:lpstr>_122h_E53</vt:lpstr>
      <vt:lpstr>_122h_E54</vt:lpstr>
      <vt:lpstr>_122h_E55</vt:lpstr>
      <vt:lpstr>_122h_E56</vt:lpstr>
      <vt:lpstr>_122h_E57</vt:lpstr>
      <vt:lpstr>_122h_E58</vt:lpstr>
      <vt:lpstr>_122h_E59</vt:lpstr>
      <vt:lpstr>_122h_E60</vt:lpstr>
      <vt:lpstr>_122h_E61</vt:lpstr>
      <vt:lpstr>_122h_E62</vt:lpstr>
      <vt:lpstr>_122h_E64</vt:lpstr>
      <vt:lpstr>_122h_E65</vt:lpstr>
      <vt:lpstr>_122h_E7</vt:lpstr>
      <vt:lpstr>_122h_E8</vt:lpstr>
      <vt:lpstr>_122h_E9</vt:lpstr>
      <vt:lpstr>_122h_F10</vt:lpstr>
      <vt:lpstr>_122h_F11</vt:lpstr>
      <vt:lpstr>_122h_F12</vt:lpstr>
      <vt:lpstr>_122h_F13</vt:lpstr>
      <vt:lpstr>_122h_F14</vt:lpstr>
      <vt:lpstr>_122h_F15</vt:lpstr>
      <vt:lpstr>_122h_F16</vt:lpstr>
      <vt:lpstr>_122h_F17</vt:lpstr>
      <vt:lpstr>_122h_F18</vt:lpstr>
      <vt:lpstr>_122h_F19</vt:lpstr>
      <vt:lpstr>_122h_F20</vt:lpstr>
      <vt:lpstr>_122h_F21</vt:lpstr>
      <vt:lpstr>_122h_F22</vt:lpstr>
      <vt:lpstr>_122h_F23</vt:lpstr>
      <vt:lpstr>_122h_F24</vt:lpstr>
      <vt:lpstr>_122h_F25</vt:lpstr>
      <vt:lpstr>_122h_F26</vt:lpstr>
      <vt:lpstr>_122h_F27</vt:lpstr>
      <vt:lpstr>_122h_F28</vt:lpstr>
      <vt:lpstr>_122h_F29</vt:lpstr>
      <vt:lpstr>_122h_F30</vt:lpstr>
      <vt:lpstr>_122h_F31</vt:lpstr>
      <vt:lpstr>_122h_F32</vt:lpstr>
      <vt:lpstr>_122h_F33</vt:lpstr>
      <vt:lpstr>_122h_F34</vt:lpstr>
      <vt:lpstr>_122h_F35</vt:lpstr>
      <vt:lpstr>_122h_F36</vt:lpstr>
      <vt:lpstr>_122h_F37</vt:lpstr>
      <vt:lpstr>_122h_F38</vt:lpstr>
      <vt:lpstr>_122h_F39</vt:lpstr>
      <vt:lpstr>_122h_F40</vt:lpstr>
      <vt:lpstr>_122h_F41</vt:lpstr>
      <vt:lpstr>_122h_F42</vt:lpstr>
      <vt:lpstr>_122h_F43</vt:lpstr>
      <vt:lpstr>_122h_F44</vt:lpstr>
      <vt:lpstr>_122h_F45</vt:lpstr>
      <vt:lpstr>_122h_F46</vt:lpstr>
      <vt:lpstr>_122h_F47</vt:lpstr>
      <vt:lpstr>_122h_F48</vt:lpstr>
      <vt:lpstr>_122h_F49</vt:lpstr>
      <vt:lpstr>_122h_F50</vt:lpstr>
      <vt:lpstr>_122h_F51</vt:lpstr>
      <vt:lpstr>_122h_F53</vt:lpstr>
      <vt:lpstr>_122h_F54</vt:lpstr>
      <vt:lpstr>_122h_F55</vt:lpstr>
      <vt:lpstr>_122h_F56</vt:lpstr>
      <vt:lpstr>_122h_F57</vt:lpstr>
      <vt:lpstr>_122h_F58</vt:lpstr>
      <vt:lpstr>_122h_F59</vt:lpstr>
      <vt:lpstr>_122h_F60</vt:lpstr>
      <vt:lpstr>_122h_F61</vt:lpstr>
      <vt:lpstr>_122h_F62</vt:lpstr>
      <vt:lpstr>_122h_F64</vt:lpstr>
      <vt:lpstr>_122h_F65</vt:lpstr>
      <vt:lpstr>_122h_F7</vt:lpstr>
      <vt:lpstr>_122h_F8</vt:lpstr>
      <vt:lpstr>_122h_F9</vt:lpstr>
      <vt:lpstr>_123h_E10</vt:lpstr>
      <vt:lpstr>_123h_E11</vt:lpstr>
      <vt:lpstr>_123h_E12</vt:lpstr>
      <vt:lpstr>_123h_E13</vt:lpstr>
      <vt:lpstr>_123h_E14</vt:lpstr>
      <vt:lpstr>_123h_E15</vt:lpstr>
      <vt:lpstr>_123h_E16</vt:lpstr>
      <vt:lpstr>_123h_E17</vt:lpstr>
      <vt:lpstr>_123h_E18</vt:lpstr>
      <vt:lpstr>_123h_E19</vt:lpstr>
      <vt:lpstr>_123h_E20</vt:lpstr>
      <vt:lpstr>_123h_E21</vt:lpstr>
      <vt:lpstr>_123h_E22</vt:lpstr>
      <vt:lpstr>_123h_E23</vt:lpstr>
      <vt:lpstr>_123h_E24</vt:lpstr>
      <vt:lpstr>_123h_E25</vt:lpstr>
      <vt:lpstr>_123h_E26</vt:lpstr>
      <vt:lpstr>_123h_E27</vt:lpstr>
      <vt:lpstr>_123h_E28</vt:lpstr>
      <vt:lpstr>_123h_E29</vt:lpstr>
      <vt:lpstr>_123h_E30</vt:lpstr>
      <vt:lpstr>_123h_E31</vt:lpstr>
      <vt:lpstr>_123h_E32</vt:lpstr>
      <vt:lpstr>_123h_E33</vt:lpstr>
      <vt:lpstr>_123h_E34</vt:lpstr>
      <vt:lpstr>_123h_E35</vt:lpstr>
      <vt:lpstr>_123h_E36</vt:lpstr>
      <vt:lpstr>_123h_E37</vt:lpstr>
      <vt:lpstr>_123h_E38</vt:lpstr>
      <vt:lpstr>_123h_E39</vt:lpstr>
      <vt:lpstr>_123h_E40</vt:lpstr>
      <vt:lpstr>_123h_E41</vt:lpstr>
      <vt:lpstr>_123h_E42</vt:lpstr>
      <vt:lpstr>_123h_E43</vt:lpstr>
      <vt:lpstr>_123h_E44</vt:lpstr>
      <vt:lpstr>_123h_E45</vt:lpstr>
      <vt:lpstr>_123h_E46</vt:lpstr>
      <vt:lpstr>_123h_E47</vt:lpstr>
      <vt:lpstr>_123h_E48</vt:lpstr>
      <vt:lpstr>_123h_E49</vt:lpstr>
      <vt:lpstr>_123h_E50</vt:lpstr>
      <vt:lpstr>_123h_E51</vt:lpstr>
      <vt:lpstr>_123h_E53</vt:lpstr>
      <vt:lpstr>_123h_E54</vt:lpstr>
      <vt:lpstr>_123h_E55</vt:lpstr>
      <vt:lpstr>_123h_E56</vt:lpstr>
      <vt:lpstr>_123h_E57</vt:lpstr>
      <vt:lpstr>_123h_E58</vt:lpstr>
      <vt:lpstr>_123h_E59</vt:lpstr>
      <vt:lpstr>_123h_E60</vt:lpstr>
      <vt:lpstr>_123h_E61</vt:lpstr>
      <vt:lpstr>_123h_E62</vt:lpstr>
      <vt:lpstr>_123h_E64</vt:lpstr>
      <vt:lpstr>_123h_E65</vt:lpstr>
      <vt:lpstr>_123h_E7</vt:lpstr>
      <vt:lpstr>_123h_E8</vt:lpstr>
      <vt:lpstr>_123h_E9</vt:lpstr>
      <vt:lpstr>_123h_F10</vt:lpstr>
      <vt:lpstr>_123h_F11</vt:lpstr>
      <vt:lpstr>_123h_F12</vt:lpstr>
      <vt:lpstr>_123h_F13</vt:lpstr>
      <vt:lpstr>_123h_F14</vt:lpstr>
      <vt:lpstr>_123h_F15</vt:lpstr>
      <vt:lpstr>_123h_F16</vt:lpstr>
      <vt:lpstr>_123h_F17</vt:lpstr>
      <vt:lpstr>_123h_F18</vt:lpstr>
      <vt:lpstr>_123h_F19</vt:lpstr>
      <vt:lpstr>_123h_F20</vt:lpstr>
      <vt:lpstr>_123h_F21</vt:lpstr>
      <vt:lpstr>_123h_F22</vt:lpstr>
      <vt:lpstr>_123h_F23</vt:lpstr>
      <vt:lpstr>_123h_F24</vt:lpstr>
      <vt:lpstr>_123h_F25</vt:lpstr>
      <vt:lpstr>_123h_F26</vt:lpstr>
      <vt:lpstr>_123h_F27</vt:lpstr>
      <vt:lpstr>_123h_F28</vt:lpstr>
      <vt:lpstr>_123h_F29</vt:lpstr>
      <vt:lpstr>_123h_F30</vt:lpstr>
      <vt:lpstr>_123h_F31</vt:lpstr>
      <vt:lpstr>_123h_F32</vt:lpstr>
      <vt:lpstr>_123h_F33</vt:lpstr>
      <vt:lpstr>_123h_F34</vt:lpstr>
      <vt:lpstr>_123h_F35</vt:lpstr>
      <vt:lpstr>_123h_F36</vt:lpstr>
      <vt:lpstr>_123h_F37</vt:lpstr>
      <vt:lpstr>_123h_F38</vt:lpstr>
      <vt:lpstr>_123h_F39</vt:lpstr>
      <vt:lpstr>_123h_F40</vt:lpstr>
      <vt:lpstr>_123h_F41</vt:lpstr>
      <vt:lpstr>_123h_F42</vt:lpstr>
      <vt:lpstr>_123h_F43</vt:lpstr>
      <vt:lpstr>_123h_F44</vt:lpstr>
      <vt:lpstr>_123h_F45</vt:lpstr>
      <vt:lpstr>_123h_F46</vt:lpstr>
      <vt:lpstr>_123h_F47</vt:lpstr>
      <vt:lpstr>_123h_F48</vt:lpstr>
      <vt:lpstr>_123h_F49</vt:lpstr>
      <vt:lpstr>_123h_F50</vt:lpstr>
      <vt:lpstr>_123h_F51</vt:lpstr>
      <vt:lpstr>_123h_F53</vt:lpstr>
      <vt:lpstr>_123h_F54</vt:lpstr>
      <vt:lpstr>_123h_F55</vt:lpstr>
      <vt:lpstr>_123h_F56</vt:lpstr>
      <vt:lpstr>_123h_F57</vt:lpstr>
      <vt:lpstr>_123h_F58</vt:lpstr>
      <vt:lpstr>_123h_F59</vt:lpstr>
      <vt:lpstr>_123h_F60</vt:lpstr>
      <vt:lpstr>_123h_F61</vt:lpstr>
      <vt:lpstr>_123h_F62</vt:lpstr>
      <vt:lpstr>_123h_F64</vt:lpstr>
      <vt:lpstr>_123h_F65</vt:lpstr>
      <vt:lpstr>_123h_F7</vt:lpstr>
      <vt:lpstr>_123h_F8</vt:lpstr>
      <vt:lpstr>_123h_F9</vt:lpstr>
      <vt:lpstr>_124h_E10</vt:lpstr>
      <vt:lpstr>_124h_E11</vt:lpstr>
      <vt:lpstr>_124h_E12</vt:lpstr>
      <vt:lpstr>_124h_E13</vt:lpstr>
      <vt:lpstr>_124h_E14</vt:lpstr>
      <vt:lpstr>_124h_E15</vt:lpstr>
      <vt:lpstr>_124h_E16</vt:lpstr>
      <vt:lpstr>_124h_E17</vt:lpstr>
      <vt:lpstr>_124h_E18</vt:lpstr>
      <vt:lpstr>_124h_E19</vt:lpstr>
      <vt:lpstr>_124h_E20</vt:lpstr>
      <vt:lpstr>_124h_E21</vt:lpstr>
      <vt:lpstr>_124h_E22</vt:lpstr>
      <vt:lpstr>_124h_E23</vt:lpstr>
      <vt:lpstr>_124h_E24</vt:lpstr>
      <vt:lpstr>_124h_E25</vt:lpstr>
      <vt:lpstr>_124h_E26</vt:lpstr>
      <vt:lpstr>_124h_E27</vt:lpstr>
      <vt:lpstr>_124h_E28</vt:lpstr>
      <vt:lpstr>_124h_E29</vt:lpstr>
      <vt:lpstr>_124h_E30</vt:lpstr>
      <vt:lpstr>_124h_E31</vt:lpstr>
      <vt:lpstr>_124h_E32</vt:lpstr>
      <vt:lpstr>_124h_E33</vt:lpstr>
      <vt:lpstr>_124h_E34</vt:lpstr>
      <vt:lpstr>_124h_E35</vt:lpstr>
      <vt:lpstr>_124h_E36</vt:lpstr>
      <vt:lpstr>_124h_E37</vt:lpstr>
      <vt:lpstr>_124h_E38</vt:lpstr>
      <vt:lpstr>_124h_E39</vt:lpstr>
      <vt:lpstr>_124h_E40</vt:lpstr>
      <vt:lpstr>_124h_E41</vt:lpstr>
      <vt:lpstr>_124h_E42</vt:lpstr>
      <vt:lpstr>_124h_E43</vt:lpstr>
      <vt:lpstr>_124h_E44</vt:lpstr>
      <vt:lpstr>_124h_E45</vt:lpstr>
      <vt:lpstr>_124h_E46</vt:lpstr>
      <vt:lpstr>_124h_E47</vt:lpstr>
      <vt:lpstr>_124h_E48</vt:lpstr>
      <vt:lpstr>_124h_E49</vt:lpstr>
      <vt:lpstr>_124h_E50</vt:lpstr>
      <vt:lpstr>_124h_E51</vt:lpstr>
      <vt:lpstr>_124h_E53</vt:lpstr>
      <vt:lpstr>_124h_E54</vt:lpstr>
      <vt:lpstr>_124h_E55</vt:lpstr>
      <vt:lpstr>_124h_E56</vt:lpstr>
      <vt:lpstr>_124h_E57</vt:lpstr>
      <vt:lpstr>_124h_E58</vt:lpstr>
      <vt:lpstr>_124h_E59</vt:lpstr>
      <vt:lpstr>_124h_E60</vt:lpstr>
      <vt:lpstr>_124h_E61</vt:lpstr>
      <vt:lpstr>_124h_E62</vt:lpstr>
      <vt:lpstr>_124h_E64</vt:lpstr>
      <vt:lpstr>_124h_E65</vt:lpstr>
      <vt:lpstr>_124h_E7</vt:lpstr>
      <vt:lpstr>_124h_E8</vt:lpstr>
      <vt:lpstr>_124h_E9</vt:lpstr>
      <vt:lpstr>_124h_F10</vt:lpstr>
      <vt:lpstr>_124h_F11</vt:lpstr>
      <vt:lpstr>_124h_F12</vt:lpstr>
      <vt:lpstr>_124h_F13</vt:lpstr>
      <vt:lpstr>_124h_F14</vt:lpstr>
      <vt:lpstr>_124h_F15</vt:lpstr>
      <vt:lpstr>_124h_F16</vt:lpstr>
      <vt:lpstr>_124h_F17</vt:lpstr>
      <vt:lpstr>_124h_F18</vt:lpstr>
      <vt:lpstr>_124h_F19</vt:lpstr>
      <vt:lpstr>_124h_F20</vt:lpstr>
      <vt:lpstr>_124h_F21</vt:lpstr>
      <vt:lpstr>_124h_F22</vt:lpstr>
      <vt:lpstr>_124h_F23</vt:lpstr>
      <vt:lpstr>_124h_F24</vt:lpstr>
      <vt:lpstr>_124h_F25</vt:lpstr>
      <vt:lpstr>_124h_F26</vt:lpstr>
      <vt:lpstr>_124h_F27</vt:lpstr>
      <vt:lpstr>_124h_F28</vt:lpstr>
      <vt:lpstr>_124h_F29</vt:lpstr>
      <vt:lpstr>_124h_F30</vt:lpstr>
      <vt:lpstr>_124h_F31</vt:lpstr>
      <vt:lpstr>_124h_F32</vt:lpstr>
      <vt:lpstr>_124h_F33</vt:lpstr>
      <vt:lpstr>_124h_F34</vt:lpstr>
      <vt:lpstr>_124h_F35</vt:lpstr>
      <vt:lpstr>_124h_F36</vt:lpstr>
      <vt:lpstr>_124h_F37</vt:lpstr>
      <vt:lpstr>_124h_F38</vt:lpstr>
      <vt:lpstr>_124h_F39</vt:lpstr>
      <vt:lpstr>_124h_F40</vt:lpstr>
      <vt:lpstr>_124h_F41</vt:lpstr>
      <vt:lpstr>_124h_F42</vt:lpstr>
      <vt:lpstr>_124h_F43</vt:lpstr>
      <vt:lpstr>_124h_F44</vt:lpstr>
      <vt:lpstr>_124h_F45</vt:lpstr>
      <vt:lpstr>_124h_F46</vt:lpstr>
      <vt:lpstr>_124h_F47</vt:lpstr>
      <vt:lpstr>_124h_F48</vt:lpstr>
      <vt:lpstr>_124h_F49</vt:lpstr>
      <vt:lpstr>_124h_F50</vt:lpstr>
      <vt:lpstr>_124h_F51</vt:lpstr>
      <vt:lpstr>_124h_F53</vt:lpstr>
      <vt:lpstr>_124h_F54</vt:lpstr>
      <vt:lpstr>_124h_F55</vt:lpstr>
      <vt:lpstr>_124h_F56</vt:lpstr>
      <vt:lpstr>_124h_F57</vt:lpstr>
      <vt:lpstr>_124h_F58</vt:lpstr>
      <vt:lpstr>_124h_F59</vt:lpstr>
      <vt:lpstr>_124h_F60</vt:lpstr>
      <vt:lpstr>_124h_F61</vt:lpstr>
      <vt:lpstr>_124h_F62</vt:lpstr>
      <vt:lpstr>_124h_F64</vt:lpstr>
      <vt:lpstr>_124h_F65</vt:lpstr>
      <vt:lpstr>_124h_F7</vt:lpstr>
      <vt:lpstr>_124h_F8</vt:lpstr>
      <vt:lpstr>_124h_F9</vt:lpstr>
      <vt:lpstr>_125h_E10</vt:lpstr>
      <vt:lpstr>_125h_E11</vt:lpstr>
      <vt:lpstr>_125h_E12</vt:lpstr>
      <vt:lpstr>_125h_E13</vt:lpstr>
      <vt:lpstr>_125h_E14</vt:lpstr>
      <vt:lpstr>_125h_E15</vt:lpstr>
      <vt:lpstr>_125h_E16</vt:lpstr>
      <vt:lpstr>_125h_E17</vt:lpstr>
      <vt:lpstr>_125h_E18</vt:lpstr>
      <vt:lpstr>_125h_E19</vt:lpstr>
      <vt:lpstr>_125h_E20</vt:lpstr>
      <vt:lpstr>_125h_E21</vt:lpstr>
      <vt:lpstr>_125h_E22</vt:lpstr>
      <vt:lpstr>_125h_E23</vt:lpstr>
      <vt:lpstr>_125h_E24</vt:lpstr>
      <vt:lpstr>_125h_E25</vt:lpstr>
      <vt:lpstr>_125h_E26</vt:lpstr>
      <vt:lpstr>_125h_E27</vt:lpstr>
      <vt:lpstr>_125h_E28</vt:lpstr>
      <vt:lpstr>_125h_E29</vt:lpstr>
      <vt:lpstr>_125h_E30</vt:lpstr>
      <vt:lpstr>_125h_E31</vt:lpstr>
      <vt:lpstr>_125h_E32</vt:lpstr>
      <vt:lpstr>_125h_E33</vt:lpstr>
      <vt:lpstr>_125h_E34</vt:lpstr>
      <vt:lpstr>_125h_E35</vt:lpstr>
      <vt:lpstr>_125h_E36</vt:lpstr>
      <vt:lpstr>_125h_E37</vt:lpstr>
      <vt:lpstr>_125h_E38</vt:lpstr>
      <vt:lpstr>_125h_E39</vt:lpstr>
      <vt:lpstr>_125h_E40</vt:lpstr>
      <vt:lpstr>_125h_E41</vt:lpstr>
      <vt:lpstr>_125h_E42</vt:lpstr>
      <vt:lpstr>_125h_E43</vt:lpstr>
      <vt:lpstr>_125h_E44</vt:lpstr>
      <vt:lpstr>_125h_E45</vt:lpstr>
      <vt:lpstr>_125h_E46</vt:lpstr>
      <vt:lpstr>_125h_E47</vt:lpstr>
      <vt:lpstr>_125h_E48</vt:lpstr>
      <vt:lpstr>_125h_E49</vt:lpstr>
      <vt:lpstr>_125h_E50</vt:lpstr>
      <vt:lpstr>_125h_E51</vt:lpstr>
      <vt:lpstr>_125h_E53</vt:lpstr>
      <vt:lpstr>_125h_E54</vt:lpstr>
      <vt:lpstr>_125h_E55</vt:lpstr>
      <vt:lpstr>_125h_E56</vt:lpstr>
      <vt:lpstr>_125h_E57</vt:lpstr>
      <vt:lpstr>_125h_E58</vt:lpstr>
      <vt:lpstr>_125h_E59</vt:lpstr>
      <vt:lpstr>_125h_E60</vt:lpstr>
      <vt:lpstr>_125h_E61</vt:lpstr>
      <vt:lpstr>_125h_E62</vt:lpstr>
      <vt:lpstr>_125h_E64</vt:lpstr>
      <vt:lpstr>_125h_E65</vt:lpstr>
      <vt:lpstr>_125h_E7</vt:lpstr>
      <vt:lpstr>_125h_E8</vt:lpstr>
      <vt:lpstr>_125h_E9</vt:lpstr>
      <vt:lpstr>_125h_F10</vt:lpstr>
      <vt:lpstr>_125h_F11</vt:lpstr>
      <vt:lpstr>_125h_F12</vt:lpstr>
      <vt:lpstr>_125h_F13</vt:lpstr>
      <vt:lpstr>_125h_F14</vt:lpstr>
      <vt:lpstr>_125h_F15</vt:lpstr>
      <vt:lpstr>_125h_F16</vt:lpstr>
      <vt:lpstr>_125h_F17</vt:lpstr>
      <vt:lpstr>_125h_F18</vt:lpstr>
      <vt:lpstr>_125h_F19</vt:lpstr>
      <vt:lpstr>_125h_F20</vt:lpstr>
      <vt:lpstr>_125h_F21</vt:lpstr>
      <vt:lpstr>_125h_F22</vt:lpstr>
      <vt:lpstr>_125h_F23</vt:lpstr>
      <vt:lpstr>_125h_F24</vt:lpstr>
      <vt:lpstr>_125h_F25</vt:lpstr>
      <vt:lpstr>_125h_F26</vt:lpstr>
      <vt:lpstr>_125h_F27</vt:lpstr>
      <vt:lpstr>_125h_F28</vt:lpstr>
      <vt:lpstr>_125h_F29</vt:lpstr>
      <vt:lpstr>_125h_F30</vt:lpstr>
      <vt:lpstr>_125h_F31</vt:lpstr>
      <vt:lpstr>_125h_F32</vt:lpstr>
      <vt:lpstr>_125h_F33</vt:lpstr>
      <vt:lpstr>_125h_F34</vt:lpstr>
      <vt:lpstr>_125h_F35</vt:lpstr>
      <vt:lpstr>_125h_F36</vt:lpstr>
      <vt:lpstr>_125h_F37</vt:lpstr>
      <vt:lpstr>_125h_F38</vt:lpstr>
      <vt:lpstr>_125h_F39</vt:lpstr>
      <vt:lpstr>_125h_F40</vt:lpstr>
      <vt:lpstr>_125h_F41</vt:lpstr>
      <vt:lpstr>_125h_F42</vt:lpstr>
      <vt:lpstr>_125h_F43</vt:lpstr>
      <vt:lpstr>_125h_F44</vt:lpstr>
      <vt:lpstr>_125h_F45</vt:lpstr>
      <vt:lpstr>_125h_F46</vt:lpstr>
      <vt:lpstr>_125h_F47</vt:lpstr>
      <vt:lpstr>_125h_F48</vt:lpstr>
      <vt:lpstr>_125h_F49</vt:lpstr>
      <vt:lpstr>_125h_F50</vt:lpstr>
      <vt:lpstr>_125h_F51</vt:lpstr>
      <vt:lpstr>_125h_F53</vt:lpstr>
      <vt:lpstr>_125h_F54</vt:lpstr>
      <vt:lpstr>_125h_F55</vt:lpstr>
      <vt:lpstr>_125h_F56</vt:lpstr>
      <vt:lpstr>_125h_F57</vt:lpstr>
      <vt:lpstr>_125h_F58</vt:lpstr>
      <vt:lpstr>_125h_F59</vt:lpstr>
      <vt:lpstr>_125h_F60</vt:lpstr>
      <vt:lpstr>_125h_F61</vt:lpstr>
      <vt:lpstr>_125h_F62</vt:lpstr>
      <vt:lpstr>_125h_F64</vt:lpstr>
      <vt:lpstr>_125h_F65</vt:lpstr>
      <vt:lpstr>_125h_F7</vt:lpstr>
      <vt:lpstr>_125h_F8</vt:lpstr>
      <vt:lpstr>_125h_F9</vt:lpstr>
      <vt:lpstr>_126h_E10</vt:lpstr>
      <vt:lpstr>_126h_E11</vt:lpstr>
      <vt:lpstr>_126h_E12</vt:lpstr>
      <vt:lpstr>_126h_E13</vt:lpstr>
      <vt:lpstr>_126h_E14</vt:lpstr>
      <vt:lpstr>_126h_E15</vt:lpstr>
      <vt:lpstr>_126h_E16</vt:lpstr>
      <vt:lpstr>_126h_E17</vt:lpstr>
      <vt:lpstr>_126h_E18</vt:lpstr>
      <vt:lpstr>_126h_E19</vt:lpstr>
      <vt:lpstr>_126h_E20</vt:lpstr>
      <vt:lpstr>_126h_E21</vt:lpstr>
      <vt:lpstr>_126h_E22</vt:lpstr>
      <vt:lpstr>_126h_E23</vt:lpstr>
      <vt:lpstr>_126h_E24</vt:lpstr>
      <vt:lpstr>_126h_E25</vt:lpstr>
      <vt:lpstr>_126h_E26</vt:lpstr>
      <vt:lpstr>_126h_E27</vt:lpstr>
      <vt:lpstr>_126h_E28</vt:lpstr>
      <vt:lpstr>_126h_E29</vt:lpstr>
      <vt:lpstr>_126h_E30</vt:lpstr>
      <vt:lpstr>_126h_E31</vt:lpstr>
      <vt:lpstr>_126h_E32</vt:lpstr>
      <vt:lpstr>_126h_E33</vt:lpstr>
      <vt:lpstr>_126h_E34</vt:lpstr>
      <vt:lpstr>_126h_E35</vt:lpstr>
      <vt:lpstr>_126h_E36</vt:lpstr>
      <vt:lpstr>_126h_E37</vt:lpstr>
      <vt:lpstr>_126h_E38</vt:lpstr>
      <vt:lpstr>_126h_E39</vt:lpstr>
      <vt:lpstr>_126h_E40</vt:lpstr>
      <vt:lpstr>_126h_E41</vt:lpstr>
      <vt:lpstr>_126h_E42</vt:lpstr>
      <vt:lpstr>_126h_E43</vt:lpstr>
      <vt:lpstr>_126h_E44</vt:lpstr>
      <vt:lpstr>_126h_E45</vt:lpstr>
      <vt:lpstr>_126h_E46</vt:lpstr>
      <vt:lpstr>_126h_E47</vt:lpstr>
      <vt:lpstr>_126h_E48</vt:lpstr>
      <vt:lpstr>_126h_E49</vt:lpstr>
      <vt:lpstr>_126h_E50</vt:lpstr>
      <vt:lpstr>_126h_E51</vt:lpstr>
      <vt:lpstr>_126h_E53</vt:lpstr>
      <vt:lpstr>_126h_E54</vt:lpstr>
      <vt:lpstr>_126h_E55</vt:lpstr>
      <vt:lpstr>_126h_E56</vt:lpstr>
      <vt:lpstr>_126h_E57</vt:lpstr>
      <vt:lpstr>_126h_E58</vt:lpstr>
      <vt:lpstr>_126h_E59</vt:lpstr>
      <vt:lpstr>_126h_E60</vt:lpstr>
      <vt:lpstr>_126h_E61</vt:lpstr>
      <vt:lpstr>_126h_E62</vt:lpstr>
      <vt:lpstr>_126h_E64</vt:lpstr>
      <vt:lpstr>_126h_E65</vt:lpstr>
      <vt:lpstr>_126h_E7</vt:lpstr>
      <vt:lpstr>_126h_E8</vt:lpstr>
      <vt:lpstr>_126h_E9</vt:lpstr>
      <vt:lpstr>_126h_F10</vt:lpstr>
      <vt:lpstr>_126h_F11</vt:lpstr>
      <vt:lpstr>_126h_F12</vt:lpstr>
      <vt:lpstr>_126h_F13</vt:lpstr>
      <vt:lpstr>_126h_F14</vt:lpstr>
      <vt:lpstr>_126h_F15</vt:lpstr>
      <vt:lpstr>_126h_F16</vt:lpstr>
      <vt:lpstr>_126h_F17</vt:lpstr>
      <vt:lpstr>_126h_F18</vt:lpstr>
      <vt:lpstr>_126h_F19</vt:lpstr>
      <vt:lpstr>_126h_F20</vt:lpstr>
      <vt:lpstr>_126h_F21</vt:lpstr>
      <vt:lpstr>_126h_F22</vt:lpstr>
      <vt:lpstr>_126h_F23</vt:lpstr>
      <vt:lpstr>_126h_F24</vt:lpstr>
      <vt:lpstr>_126h_F25</vt:lpstr>
      <vt:lpstr>_126h_F26</vt:lpstr>
      <vt:lpstr>_126h_F27</vt:lpstr>
      <vt:lpstr>_126h_F28</vt:lpstr>
      <vt:lpstr>_126h_F29</vt:lpstr>
      <vt:lpstr>_126h_F30</vt:lpstr>
      <vt:lpstr>_126h_F31</vt:lpstr>
      <vt:lpstr>_126h_F32</vt:lpstr>
      <vt:lpstr>_126h_F33</vt:lpstr>
      <vt:lpstr>_126h_F34</vt:lpstr>
      <vt:lpstr>_126h_F35</vt:lpstr>
      <vt:lpstr>_126h_F36</vt:lpstr>
      <vt:lpstr>_126h_F37</vt:lpstr>
      <vt:lpstr>_126h_F38</vt:lpstr>
      <vt:lpstr>_126h_F39</vt:lpstr>
      <vt:lpstr>_126h_F40</vt:lpstr>
      <vt:lpstr>_126h_F41</vt:lpstr>
      <vt:lpstr>_126h_F42</vt:lpstr>
      <vt:lpstr>_126h_F43</vt:lpstr>
      <vt:lpstr>_126h_F44</vt:lpstr>
      <vt:lpstr>_126h_F45</vt:lpstr>
      <vt:lpstr>_126h_F46</vt:lpstr>
      <vt:lpstr>_126h_F47</vt:lpstr>
      <vt:lpstr>_126h_F48</vt:lpstr>
      <vt:lpstr>_126h_F49</vt:lpstr>
      <vt:lpstr>_126h_F50</vt:lpstr>
      <vt:lpstr>_126h_F51</vt:lpstr>
      <vt:lpstr>_126h_F53</vt:lpstr>
      <vt:lpstr>_126h_F54</vt:lpstr>
      <vt:lpstr>_126h_F55</vt:lpstr>
      <vt:lpstr>_126h_F56</vt:lpstr>
      <vt:lpstr>_126h_F57</vt:lpstr>
      <vt:lpstr>_126h_F58</vt:lpstr>
      <vt:lpstr>_126h_F59</vt:lpstr>
      <vt:lpstr>_126h_F60</vt:lpstr>
      <vt:lpstr>_126h_F61</vt:lpstr>
      <vt:lpstr>_126h_F62</vt:lpstr>
      <vt:lpstr>_126h_F64</vt:lpstr>
      <vt:lpstr>_126h_F65</vt:lpstr>
      <vt:lpstr>_126h_F7</vt:lpstr>
      <vt:lpstr>_126h_F8</vt:lpstr>
      <vt:lpstr>_126h_F9</vt:lpstr>
      <vt:lpstr>_127h_E10</vt:lpstr>
      <vt:lpstr>_127h_E11</vt:lpstr>
      <vt:lpstr>_127h_E12</vt:lpstr>
      <vt:lpstr>_127h_E13</vt:lpstr>
      <vt:lpstr>_127h_E14</vt:lpstr>
      <vt:lpstr>_127h_E15</vt:lpstr>
      <vt:lpstr>_127h_E16</vt:lpstr>
      <vt:lpstr>_127h_E17</vt:lpstr>
      <vt:lpstr>_127h_E18</vt:lpstr>
      <vt:lpstr>_127h_E19</vt:lpstr>
      <vt:lpstr>_127h_E20</vt:lpstr>
      <vt:lpstr>_127h_E21</vt:lpstr>
      <vt:lpstr>_127h_E22</vt:lpstr>
      <vt:lpstr>_127h_E23</vt:lpstr>
      <vt:lpstr>_127h_E24</vt:lpstr>
      <vt:lpstr>_127h_E25</vt:lpstr>
      <vt:lpstr>_127h_E26</vt:lpstr>
      <vt:lpstr>_127h_E27</vt:lpstr>
      <vt:lpstr>_127h_E28</vt:lpstr>
      <vt:lpstr>_127h_E29</vt:lpstr>
      <vt:lpstr>_127h_E30</vt:lpstr>
      <vt:lpstr>_127h_E31</vt:lpstr>
      <vt:lpstr>_127h_E32</vt:lpstr>
      <vt:lpstr>_127h_E33</vt:lpstr>
      <vt:lpstr>_127h_E34</vt:lpstr>
      <vt:lpstr>_127h_E35</vt:lpstr>
      <vt:lpstr>_127h_E36</vt:lpstr>
      <vt:lpstr>_127h_E37</vt:lpstr>
      <vt:lpstr>_127h_E38</vt:lpstr>
      <vt:lpstr>_127h_E39</vt:lpstr>
      <vt:lpstr>_127h_E40</vt:lpstr>
      <vt:lpstr>_127h_E41</vt:lpstr>
      <vt:lpstr>_127h_E42</vt:lpstr>
      <vt:lpstr>_127h_E43</vt:lpstr>
      <vt:lpstr>_127h_E44</vt:lpstr>
      <vt:lpstr>_127h_E45</vt:lpstr>
      <vt:lpstr>_127h_E46</vt:lpstr>
      <vt:lpstr>_127h_E47</vt:lpstr>
      <vt:lpstr>_127h_E48</vt:lpstr>
      <vt:lpstr>_127h_E49</vt:lpstr>
      <vt:lpstr>_127h_E50</vt:lpstr>
      <vt:lpstr>_127h_E51</vt:lpstr>
      <vt:lpstr>_127h_E53</vt:lpstr>
      <vt:lpstr>_127h_E54</vt:lpstr>
      <vt:lpstr>_127h_E55</vt:lpstr>
      <vt:lpstr>_127h_E56</vt:lpstr>
      <vt:lpstr>_127h_E57</vt:lpstr>
      <vt:lpstr>_127h_E58</vt:lpstr>
      <vt:lpstr>_127h_E59</vt:lpstr>
      <vt:lpstr>_127h_E60</vt:lpstr>
      <vt:lpstr>_127h_E61</vt:lpstr>
      <vt:lpstr>_127h_E62</vt:lpstr>
      <vt:lpstr>_127h_E64</vt:lpstr>
      <vt:lpstr>_127h_E65</vt:lpstr>
      <vt:lpstr>_127h_E7</vt:lpstr>
      <vt:lpstr>_127h_E8</vt:lpstr>
      <vt:lpstr>_127h_E9</vt:lpstr>
      <vt:lpstr>_127h_F10</vt:lpstr>
      <vt:lpstr>_127h_F11</vt:lpstr>
      <vt:lpstr>_127h_F12</vt:lpstr>
      <vt:lpstr>_127h_F13</vt:lpstr>
      <vt:lpstr>_127h_F14</vt:lpstr>
      <vt:lpstr>_127h_F15</vt:lpstr>
      <vt:lpstr>_127h_F16</vt:lpstr>
      <vt:lpstr>_127h_F17</vt:lpstr>
      <vt:lpstr>_127h_F18</vt:lpstr>
      <vt:lpstr>_127h_F19</vt:lpstr>
      <vt:lpstr>_127h_F20</vt:lpstr>
      <vt:lpstr>_127h_F21</vt:lpstr>
      <vt:lpstr>_127h_F22</vt:lpstr>
      <vt:lpstr>_127h_F23</vt:lpstr>
      <vt:lpstr>_127h_F24</vt:lpstr>
      <vt:lpstr>_127h_F25</vt:lpstr>
      <vt:lpstr>_127h_F26</vt:lpstr>
      <vt:lpstr>_127h_F27</vt:lpstr>
      <vt:lpstr>_127h_F28</vt:lpstr>
      <vt:lpstr>_127h_F29</vt:lpstr>
      <vt:lpstr>_127h_F30</vt:lpstr>
      <vt:lpstr>_127h_F31</vt:lpstr>
      <vt:lpstr>_127h_F32</vt:lpstr>
      <vt:lpstr>_127h_F33</vt:lpstr>
      <vt:lpstr>_127h_F34</vt:lpstr>
      <vt:lpstr>_127h_F35</vt:lpstr>
      <vt:lpstr>_127h_F36</vt:lpstr>
      <vt:lpstr>_127h_F37</vt:lpstr>
      <vt:lpstr>_127h_F38</vt:lpstr>
      <vt:lpstr>_127h_F39</vt:lpstr>
      <vt:lpstr>_127h_F40</vt:lpstr>
      <vt:lpstr>_127h_F41</vt:lpstr>
      <vt:lpstr>_127h_F42</vt:lpstr>
      <vt:lpstr>_127h_F43</vt:lpstr>
      <vt:lpstr>_127h_F44</vt:lpstr>
      <vt:lpstr>_127h_F45</vt:lpstr>
      <vt:lpstr>_127h_F46</vt:lpstr>
      <vt:lpstr>_127h_F47</vt:lpstr>
      <vt:lpstr>_127h_F48</vt:lpstr>
      <vt:lpstr>_127h_F49</vt:lpstr>
      <vt:lpstr>_127h_F50</vt:lpstr>
      <vt:lpstr>_127h_F51</vt:lpstr>
      <vt:lpstr>_127h_F53</vt:lpstr>
      <vt:lpstr>_127h_F54</vt:lpstr>
      <vt:lpstr>_127h_F55</vt:lpstr>
      <vt:lpstr>_127h_F56</vt:lpstr>
      <vt:lpstr>_127h_F57</vt:lpstr>
      <vt:lpstr>_127h_F58</vt:lpstr>
      <vt:lpstr>_127h_F59</vt:lpstr>
      <vt:lpstr>_127h_F60</vt:lpstr>
      <vt:lpstr>_127h_F61</vt:lpstr>
      <vt:lpstr>_127h_F62</vt:lpstr>
      <vt:lpstr>_127h_F64</vt:lpstr>
      <vt:lpstr>_127h_F65</vt:lpstr>
      <vt:lpstr>_127h_F7</vt:lpstr>
      <vt:lpstr>_127h_F8</vt:lpstr>
      <vt:lpstr>_127h_F9</vt:lpstr>
      <vt:lpstr>_128h_E10</vt:lpstr>
      <vt:lpstr>_128h_E11</vt:lpstr>
      <vt:lpstr>_128h_E12</vt:lpstr>
      <vt:lpstr>_128h_E13</vt:lpstr>
      <vt:lpstr>_128h_E14</vt:lpstr>
      <vt:lpstr>_128h_E15</vt:lpstr>
      <vt:lpstr>_128h_E16</vt:lpstr>
      <vt:lpstr>_128h_E17</vt:lpstr>
      <vt:lpstr>_128h_E18</vt:lpstr>
      <vt:lpstr>_128h_E19</vt:lpstr>
      <vt:lpstr>_128h_E20</vt:lpstr>
      <vt:lpstr>_128h_E21</vt:lpstr>
      <vt:lpstr>_128h_E22</vt:lpstr>
      <vt:lpstr>_128h_E23</vt:lpstr>
      <vt:lpstr>_128h_E24</vt:lpstr>
      <vt:lpstr>_128h_E25</vt:lpstr>
      <vt:lpstr>_128h_E26</vt:lpstr>
      <vt:lpstr>_128h_E27</vt:lpstr>
      <vt:lpstr>_128h_E28</vt:lpstr>
      <vt:lpstr>_128h_E29</vt:lpstr>
      <vt:lpstr>_128h_E30</vt:lpstr>
      <vt:lpstr>_128h_E31</vt:lpstr>
      <vt:lpstr>_128h_E32</vt:lpstr>
      <vt:lpstr>_128h_E33</vt:lpstr>
      <vt:lpstr>_128h_E34</vt:lpstr>
      <vt:lpstr>_128h_E35</vt:lpstr>
      <vt:lpstr>_128h_E36</vt:lpstr>
      <vt:lpstr>_128h_E37</vt:lpstr>
      <vt:lpstr>_128h_E38</vt:lpstr>
      <vt:lpstr>_128h_E39</vt:lpstr>
      <vt:lpstr>_128h_E40</vt:lpstr>
      <vt:lpstr>_128h_E41</vt:lpstr>
      <vt:lpstr>_128h_E42</vt:lpstr>
      <vt:lpstr>_128h_E43</vt:lpstr>
      <vt:lpstr>_128h_E44</vt:lpstr>
      <vt:lpstr>_128h_E45</vt:lpstr>
      <vt:lpstr>_128h_E46</vt:lpstr>
      <vt:lpstr>_128h_E47</vt:lpstr>
      <vt:lpstr>_128h_E48</vt:lpstr>
      <vt:lpstr>_128h_E49</vt:lpstr>
      <vt:lpstr>_128h_E50</vt:lpstr>
      <vt:lpstr>_128h_E51</vt:lpstr>
      <vt:lpstr>_128h_E53</vt:lpstr>
      <vt:lpstr>_128h_E54</vt:lpstr>
      <vt:lpstr>_128h_E55</vt:lpstr>
      <vt:lpstr>_128h_E56</vt:lpstr>
      <vt:lpstr>_128h_E57</vt:lpstr>
      <vt:lpstr>_128h_E58</vt:lpstr>
      <vt:lpstr>_128h_E59</vt:lpstr>
      <vt:lpstr>_128h_E60</vt:lpstr>
      <vt:lpstr>_128h_E61</vt:lpstr>
      <vt:lpstr>_128h_E62</vt:lpstr>
      <vt:lpstr>_128h_E64</vt:lpstr>
      <vt:lpstr>_128h_E65</vt:lpstr>
      <vt:lpstr>_128h_E7</vt:lpstr>
      <vt:lpstr>_128h_E8</vt:lpstr>
      <vt:lpstr>_128h_E9</vt:lpstr>
      <vt:lpstr>_128h_F10</vt:lpstr>
      <vt:lpstr>_128h_F11</vt:lpstr>
      <vt:lpstr>_128h_F12</vt:lpstr>
      <vt:lpstr>_128h_F13</vt:lpstr>
      <vt:lpstr>_128h_F14</vt:lpstr>
      <vt:lpstr>_128h_F15</vt:lpstr>
      <vt:lpstr>_128h_F16</vt:lpstr>
      <vt:lpstr>_128h_F17</vt:lpstr>
      <vt:lpstr>_128h_F18</vt:lpstr>
      <vt:lpstr>_128h_F19</vt:lpstr>
      <vt:lpstr>_128h_F20</vt:lpstr>
      <vt:lpstr>_128h_F21</vt:lpstr>
      <vt:lpstr>_128h_F22</vt:lpstr>
      <vt:lpstr>_128h_F23</vt:lpstr>
      <vt:lpstr>_128h_F24</vt:lpstr>
      <vt:lpstr>_128h_F25</vt:lpstr>
      <vt:lpstr>_128h_F26</vt:lpstr>
      <vt:lpstr>_128h_F27</vt:lpstr>
      <vt:lpstr>_128h_F28</vt:lpstr>
      <vt:lpstr>_128h_F29</vt:lpstr>
      <vt:lpstr>_128h_F30</vt:lpstr>
      <vt:lpstr>_128h_F31</vt:lpstr>
      <vt:lpstr>_128h_F32</vt:lpstr>
      <vt:lpstr>_128h_F33</vt:lpstr>
      <vt:lpstr>_128h_F34</vt:lpstr>
      <vt:lpstr>_128h_F35</vt:lpstr>
      <vt:lpstr>_128h_F36</vt:lpstr>
      <vt:lpstr>_128h_F37</vt:lpstr>
      <vt:lpstr>_128h_F38</vt:lpstr>
      <vt:lpstr>_128h_F39</vt:lpstr>
      <vt:lpstr>_128h_F40</vt:lpstr>
      <vt:lpstr>_128h_F41</vt:lpstr>
      <vt:lpstr>_128h_F42</vt:lpstr>
      <vt:lpstr>_128h_F43</vt:lpstr>
      <vt:lpstr>_128h_F44</vt:lpstr>
      <vt:lpstr>_128h_F45</vt:lpstr>
      <vt:lpstr>_128h_F46</vt:lpstr>
      <vt:lpstr>_128h_F47</vt:lpstr>
      <vt:lpstr>_128h_F48</vt:lpstr>
      <vt:lpstr>_128h_F49</vt:lpstr>
      <vt:lpstr>_128h_F50</vt:lpstr>
      <vt:lpstr>_128h_F51</vt:lpstr>
      <vt:lpstr>_128h_F53</vt:lpstr>
      <vt:lpstr>_128h_F54</vt:lpstr>
      <vt:lpstr>_128h_F55</vt:lpstr>
      <vt:lpstr>_128h_F56</vt:lpstr>
      <vt:lpstr>_128h_F57</vt:lpstr>
      <vt:lpstr>_128h_F58</vt:lpstr>
      <vt:lpstr>_128h_F59</vt:lpstr>
      <vt:lpstr>_128h_F60</vt:lpstr>
      <vt:lpstr>_128h_F61</vt:lpstr>
      <vt:lpstr>_128h_F62</vt:lpstr>
      <vt:lpstr>_128h_F64</vt:lpstr>
      <vt:lpstr>_128h_F65</vt:lpstr>
      <vt:lpstr>_128h_F7</vt:lpstr>
      <vt:lpstr>_128h_F8</vt:lpstr>
      <vt:lpstr>_128h_F9</vt:lpstr>
      <vt:lpstr>_129h_E10</vt:lpstr>
      <vt:lpstr>_129h_E11</vt:lpstr>
      <vt:lpstr>_129h_E12</vt:lpstr>
      <vt:lpstr>_129h_E13</vt:lpstr>
      <vt:lpstr>_129h_E14</vt:lpstr>
      <vt:lpstr>_129h_E15</vt:lpstr>
      <vt:lpstr>_129h_E16</vt:lpstr>
      <vt:lpstr>_129h_E17</vt:lpstr>
      <vt:lpstr>_129h_E18</vt:lpstr>
      <vt:lpstr>_129h_E19</vt:lpstr>
      <vt:lpstr>_129h_E20</vt:lpstr>
      <vt:lpstr>_129h_E21</vt:lpstr>
      <vt:lpstr>_129h_E22</vt:lpstr>
      <vt:lpstr>_129h_E23</vt:lpstr>
      <vt:lpstr>_129h_E24</vt:lpstr>
      <vt:lpstr>_129h_E25</vt:lpstr>
      <vt:lpstr>_129h_E26</vt:lpstr>
      <vt:lpstr>_129h_E27</vt:lpstr>
      <vt:lpstr>_129h_E28</vt:lpstr>
      <vt:lpstr>_129h_E29</vt:lpstr>
      <vt:lpstr>_129h_E30</vt:lpstr>
      <vt:lpstr>_129h_E31</vt:lpstr>
      <vt:lpstr>_129h_E32</vt:lpstr>
      <vt:lpstr>_129h_E33</vt:lpstr>
      <vt:lpstr>_129h_E34</vt:lpstr>
      <vt:lpstr>_129h_E35</vt:lpstr>
      <vt:lpstr>_129h_E36</vt:lpstr>
      <vt:lpstr>_129h_E37</vt:lpstr>
      <vt:lpstr>_129h_E38</vt:lpstr>
      <vt:lpstr>_129h_E39</vt:lpstr>
      <vt:lpstr>_129h_E40</vt:lpstr>
      <vt:lpstr>_129h_E41</vt:lpstr>
      <vt:lpstr>_129h_E42</vt:lpstr>
      <vt:lpstr>_129h_E43</vt:lpstr>
      <vt:lpstr>_129h_E44</vt:lpstr>
      <vt:lpstr>_129h_E45</vt:lpstr>
      <vt:lpstr>_129h_E46</vt:lpstr>
      <vt:lpstr>_129h_E47</vt:lpstr>
      <vt:lpstr>_129h_E48</vt:lpstr>
      <vt:lpstr>_129h_E49</vt:lpstr>
      <vt:lpstr>_129h_E50</vt:lpstr>
      <vt:lpstr>_129h_E51</vt:lpstr>
      <vt:lpstr>_129h_E53</vt:lpstr>
      <vt:lpstr>_129h_E54</vt:lpstr>
      <vt:lpstr>_129h_E55</vt:lpstr>
      <vt:lpstr>_129h_E56</vt:lpstr>
      <vt:lpstr>_129h_E57</vt:lpstr>
      <vt:lpstr>_129h_E58</vt:lpstr>
      <vt:lpstr>_129h_E59</vt:lpstr>
      <vt:lpstr>_129h_E60</vt:lpstr>
      <vt:lpstr>_129h_E61</vt:lpstr>
      <vt:lpstr>_129h_E62</vt:lpstr>
      <vt:lpstr>_129h_E64</vt:lpstr>
      <vt:lpstr>_129h_E65</vt:lpstr>
      <vt:lpstr>_129h_E7</vt:lpstr>
      <vt:lpstr>_129h_E8</vt:lpstr>
      <vt:lpstr>_129h_E9</vt:lpstr>
      <vt:lpstr>_129h_F10</vt:lpstr>
      <vt:lpstr>_129h_F11</vt:lpstr>
      <vt:lpstr>_129h_F12</vt:lpstr>
      <vt:lpstr>_129h_F13</vt:lpstr>
      <vt:lpstr>_129h_F14</vt:lpstr>
      <vt:lpstr>_129h_F15</vt:lpstr>
      <vt:lpstr>_129h_F16</vt:lpstr>
      <vt:lpstr>_129h_F17</vt:lpstr>
      <vt:lpstr>_129h_F18</vt:lpstr>
      <vt:lpstr>_129h_F19</vt:lpstr>
      <vt:lpstr>_129h_F20</vt:lpstr>
      <vt:lpstr>_129h_F21</vt:lpstr>
      <vt:lpstr>_129h_F22</vt:lpstr>
      <vt:lpstr>_129h_F23</vt:lpstr>
      <vt:lpstr>_129h_F24</vt:lpstr>
      <vt:lpstr>_129h_F25</vt:lpstr>
      <vt:lpstr>_129h_F26</vt:lpstr>
      <vt:lpstr>_129h_F27</vt:lpstr>
      <vt:lpstr>_129h_F28</vt:lpstr>
      <vt:lpstr>_129h_F29</vt:lpstr>
      <vt:lpstr>_129h_F30</vt:lpstr>
      <vt:lpstr>_129h_F31</vt:lpstr>
      <vt:lpstr>_129h_F32</vt:lpstr>
      <vt:lpstr>_129h_F33</vt:lpstr>
      <vt:lpstr>_129h_F34</vt:lpstr>
      <vt:lpstr>_129h_F35</vt:lpstr>
      <vt:lpstr>_129h_F36</vt:lpstr>
      <vt:lpstr>_129h_F37</vt:lpstr>
      <vt:lpstr>_129h_F38</vt:lpstr>
      <vt:lpstr>_129h_F39</vt:lpstr>
      <vt:lpstr>_129h_F40</vt:lpstr>
      <vt:lpstr>_129h_F41</vt:lpstr>
      <vt:lpstr>_129h_F42</vt:lpstr>
      <vt:lpstr>_129h_F43</vt:lpstr>
      <vt:lpstr>_129h_F44</vt:lpstr>
      <vt:lpstr>_129h_F45</vt:lpstr>
      <vt:lpstr>_129h_F46</vt:lpstr>
      <vt:lpstr>_129h_F47</vt:lpstr>
      <vt:lpstr>_129h_F48</vt:lpstr>
      <vt:lpstr>_129h_F49</vt:lpstr>
      <vt:lpstr>_129h_F50</vt:lpstr>
      <vt:lpstr>_129h_F51</vt:lpstr>
      <vt:lpstr>_129h_F53</vt:lpstr>
      <vt:lpstr>_129h_F54</vt:lpstr>
      <vt:lpstr>_129h_F55</vt:lpstr>
      <vt:lpstr>_129h_F56</vt:lpstr>
      <vt:lpstr>_129h_F57</vt:lpstr>
      <vt:lpstr>_129h_F58</vt:lpstr>
      <vt:lpstr>_129h_F59</vt:lpstr>
      <vt:lpstr>_129h_F60</vt:lpstr>
      <vt:lpstr>_129h_F61</vt:lpstr>
      <vt:lpstr>_129h_F62</vt:lpstr>
      <vt:lpstr>_129h_F64</vt:lpstr>
      <vt:lpstr>_129h_F65</vt:lpstr>
      <vt:lpstr>_129h_F7</vt:lpstr>
      <vt:lpstr>_129h_F8</vt:lpstr>
      <vt:lpstr>_129h_F9</vt:lpstr>
      <vt:lpstr>_12h_E10</vt:lpstr>
      <vt:lpstr>_12h_E11</vt:lpstr>
      <vt:lpstr>_12h_E12</vt:lpstr>
      <vt:lpstr>_12h_E13</vt:lpstr>
      <vt:lpstr>_12h_E14</vt:lpstr>
      <vt:lpstr>_12h_E15</vt:lpstr>
      <vt:lpstr>_12h_E16</vt:lpstr>
      <vt:lpstr>_12h_E17</vt:lpstr>
      <vt:lpstr>_12h_E18</vt:lpstr>
      <vt:lpstr>_12h_E19</vt:lpstr>
      <vt:lpstr>_12h_E20</vt:lpstr>
      <vt:lpstr>_12h_E21</vt:lpstr>
      <vt:lpstr>_12h_E22</vt:lpstr>
      <vt:lpstr>_12h_E23</vt:lpstr>
      <vt:lpstr>_12h_E24</vt:lpstr>
      <vt:lpstr>_12h_E25</vt:lpstr>
      <vt:lpstr>_12h_E26</vt:lpstr>
      <vt:lpstr>_12h_E27</vt:lpstr>
      <vt:lpstr>_12h_E28</vt:lpstr>
      <vt:lpstr>_12h_E29</vt:lpstr>
      <vt:lpstr>_12h_E30</vt:lpstr>
      <vt:lpstr>_12h_E31</vt:lpstr>
      <vt:lpstr>_12h_E32</vt:lpstr>
      <vt:lpstr>_12h_E33</vt:lpstr>
      <vt:lpstr>_12h_E34</vt:lpstr>
      <vt:lpstr>_12h_E35</vt:lpstr>
      <vt:lpstr>_12h_E36</vt:lpstr>
      <vt:lpstr>_12h_E37</vt:lpstr>
      <vt:lpstr>_12h_E38</vt:lpstr>
      <vt:lpstr>_12h_E39</vt:lpstr>
      <vt:lpstr>_12h_E40</vt:lpstr>
      <vt:lpstr>_12h_E41</vt:lpstr>
      <vt:lpstr>_12h_E42</vt:lpstr>
      <vt:lpstr>_12h_E43</vt:lpstr>
      <vt:lpstr>_12h_E44</vt:lpstr>
      <vt:lpstr>_12h_E45</vt:lpstr>
      <vt:lpstr>_12h_E46</vt:lpstr>
      <vt:lpstr>_12h_E47</vt:lpstr>
      <vt:lpstr>_12h_E48</vt:lpstr>
      <vt:lpstr>_12h_E49</vt:lpstr>
      <vt:lpstr>_12h_E50</vt:lpstr>
      <vt:lpstr>_12h_E51</vt:lpstr>
      <vt:lpstr>_12h_E53</vt:lpstr>
      <vt:lpstr>_12h_E54</vt:lpstr>
      <vt:lpstr>_12h_E55</vt:lpstr>
      <vt:lpstr>_12h_E56</vt:lpstr>
      <vt:lpstr>_12h_E57</vt:lpstr>
      <vt:lpstr>_12h_E58</vt:lpstr>
      <vt:lpstr>_12h_E59</vt:lpstr>
      <vt:lpstr>_12h_E60</vt:lpstr>
      <vt:lpstr>_12h_E61</vt:lpstr>
      <vt:lpstr>_12h_E62</vt:lpstr>
      <vt:lpstr>_12h_E64</vt:lpstr>
      <vt:lpstr>_12h_E65</vt:lpstr>
      <vt:lpstr>_12h_E7</vt:lpstr>
      <vt:lpstr>_12h_E8</vt:lpstr>
      <vt:lpstr>_12h_E9</vt:lpstr>
      <vt:lpstr>_12h_F10</vt:lpstr>
      <vt:lpstr>_12h_F11</vt:lpstr>
      <vt:lpstr>_12h_F12</vt:lpstr>
      <vt:lpstr>_12h_F13</vt:lpstr>
      <vt:lpstr>_12h_F14</vt:lpstr>
      <vt:lpstr>_12h_F15</vt:lpstr>
      <vt:lpstr>_12h_F16</vt:lpstr>
      <vt:lpstr>_12h_F17</vt:lpstr>
      <vt:lpstr>_12h_F18</vt:lpstr>
      <vt:lpstr>_12h_F19</vt:lpstr>
      <vt:lpstr>_12h_F20</vt:lpstr>
      <vt:lpstr>_12h_F21</vt:lpstr>
      <vt:lpstr>_12h_F22</vt:lpstr>
      <vt:lpstr>_12h_F23</vt:lpstr>
      <vt:lpstr>_12h_F24</vt:lpstr>
      <vt:lpstr>_12h_F25</vt:lpstr>
      <vt:lpstr>_12h_F26</vt:lpstr>
      <vt:lpstr>_12h_F27</vt:lpstr>
      <vt:lpstr>_12h_F28</vt:lpstr>
      <vt:lpstr>_12h_F29</vt:lpstr>
      <vt:lpstr>_12h_F30</vt:lpstr>
      <vt:lpstr>_12h_F31</vt:lpstr>
      <vt:lpstr>_12h_F32</vt:lpstr>
      <vt:lpstr>_12h_F33</vt:lpstr>
      <vt:lpstr>_12h_F34</vt:lpstr>
      <vt:lpstr>_12h_F35</vt:lpstr>
      <vt:lpstr>_12h_F36</vt:lpstr>
      <vt:lpstr>_12h_F37</vt:lpstr>
      <vt:lpstr>_12h_F38</vt:lpstr>
      <vt:lpstr>_12h_F39</vt:lpstr>
      <vt:lpstr>_12h_F40</vt:lpstr>
      <vt:lpstr>_12h_F41</vt:lpstr>
      <vt:lpstr>_12h_F42</vt:lpstr>
      <vt:lpstr>_12h_F43</vt:lpstr>
      <vt:lpstr>_12h_F44</vt:lpstr>
      <vt:lpstr>_12h_F45</vt:lpstr>
      <vt:lpstr>_12h_F46</vt:lpstr>
      <vt:lpstr>_12h_F47</vt:lpstr>
      <vt:lpstr>_12h_F48</vt:lpstr>
      <vt:lpstr>_12h_F49</vt:lpstr>
      <vt:lpstr>_12h_F50</vt:lpstr>
      <vt:lpstr>_12h_F51</vt:lpstr>
      <vt:lpstr>_12h_F53</vt:lpstr>
      <vt:lpstr>_12h_F54</vt:lpstr>
      <vt:lpstr>_12h_F55</vt:lpstr>
      <vt:lpstr>_12h_F56</vt:lpstr>
      <vt:lpstr>_12h_F57</vt:lpstr>
      <vt:lpstr>_12h_F58</vt:lpstr>
      <vt:lpstr>_12h_F59</vt:lpstr>
      <vt:lpstr>_12h_F60</vt:lpstr>
      <vt:lpstr>_12h_F61</vt:lpstr>
      <vt:lpstr>_12h_F62</vt:lpstr>
      <vt:lpstr>_12h_F64</vt:lpstr>
      <vt:lpstr>_12h_F65</vt:lpstr>
      <vt:lpstr>_12h_F7</vt:lpstr>
      <vt:lpstr>_12h_F8</vt:lpstr>
      <vt:lpstr>_12h_F9</vt:lpstr>
      <vt:lpstr>_130h_E10</vt:lpstr>
      <vt:lpstr>_130h_E11</vt:lpstr>
      <vt:lpstr>_130h_E12</vt:lpstr>
      <vt:lpstr>_130h_E13</vt:lpstr>
      <vt:lpstr>_130h_E14</vt:lpstr>
      <vt:lpstr>_130h_E15</vt:lpstr>
      <vt:lpstr>_130h_E16</vt:lpstr>
      <vt:lpstr>_130h_E17</vt:lpstr>
      <vt:lpstr>_130h_E18</vt:lpstr>
      <vt:lpstr>_130h_E19</vt:lpstr>
      <vt:lpstr>_130h_E20</vt:lpstr>
      <vt:lpstr>_130h_E21</vt:lpstr>
      <vt:lpstr>_130h_E22</vt:lpstr>
      <vt:lpstr>_130h_E23</vt:lpstr>
      <vt:lpstr>_130h_E24</vt:lpstr>
      <vt:lpstr>_130h_E25</vt:lpstr>
      <vt:lpstr>_130h_E26</vt:lpstr>
      <vt:lpstr>_130h_E27</vt:lpstr>
      <vt:lpstr>_130h_E28</vt:lpstr>
      <vt:lpstr>_130h_E29</vt:lpstr>
      <vt:lpstr>_130h_E30</vt:lpstr>
      <vt:lpstr>_130h_E31</vt:lpstr>
      <vt:lpstr>_130h_E32</vt:lpstr>
      <vt:lpstr>_130h_E33</vt:lpstr>
      <vt:lpstr>_130h_E34</vt:lpstr>
      <vt:lpstr>_130h_E35</vt:lpstr>
      <vt:lpstr>_130h_E36</vt:lpstr>
      <vt:lpstr>_130h_E37</vt:lpstr>
      <vt:lpstr>_130h_E38</vt:lpstr>
      <vt:lpstr>_130h_E39</vt:lpstr>
      <vt:lpstr>_130h_E40</vt:lpstr>
      <vt:lpstr>_130h_E41</vt:lpstr>
      <vt:lpstr>_130h_E42</vt:lpstr>
      <vt:lpstr>_130h_E43</vt:lpstr>
      <vt:lpstr>_130h_E44</vt:lpstr>
      <vt:lpstr>_130h_E45</vt:lpstr>
      <vt:lpstr>_130h_E46</vt:lpstr>
      <vt:lpstr>_130h_E47</vt:lpstr>
      <vt:lpstr>_130h_E48</vt:lpstr>
      <vt:lpstr>_130h_E49</vt:lpstr>
      <vt:lpstr>_130h_E50</vt:lpstr>
      <vt:lpstr>_130h_E51</vt:lpstr>
      <vt:lpstr>_130h_E53</vt:lpstr>
      <vt:lpstr>_130h_E54</vt:lpstr>
      <vt:lpstr>_130h_E55</vt:lpstr>
      <vt:lpstr>_130h_E56</vt:lpstr>
      <vt:lpstr>_130h_E57</vt:lpstr>
      <vt:lpstr>_130h_E58</vt:lpstr>
      <vt:lpstr>_130h_E59</vt:lpstr>
      <vt:lpstr>_130h_E60</vt:lpstr>
      <vt:lpstr>_130h_E61</vt:lpstr>
      <vt:lpstr>_130h_E62</vt:lpstr>
      <vt:lpstr>_130h_E64</vt:lpstr>
      <vt:lpstr>_130h_E65</vt:lpstr>
      <vt:lpstr>_130h_E7</vt:lpstr>
      <vt:lpstr>_130h_E8</vt:lpstr>
      <vt:lpstr>_130h_E9</vt:lpstr>
      <vt:lpstr>_130h_F10</vt:lpstr>
      <vt:lpstr>_130h_F11</vt:lpstr>
      <vt:lpstr>_130h_F12</vt:lpstr>
      <vt:lpstr>_130h_F13</vt:lpstr>
      <vt:lpstr>_130h_F14</vt:lpstr>
      <vt:lpstr>_130h_F15</vt:lpstr>
      <vt:lpstr>_130h_F16</vt:lpstr>
      <vt:lpstr>_130h_F17</vt:lpstr>
      <vt:lpstr>_130h_F18</vt:lpstr>
      <vt:lpstr>_130h_F19</vt:lpstr>
      <vt:lpstr>_130h_F20</vt:lpstr>
      <vt:lpstr>_130h_F21</vt:lpstr>
      <vt:lpstr>_130h_F22</vt:lpstr>
      <vt:lpstr>_130h_F23</vt:lpstr>
      <vt:lpstr>_130h_F24</vt:lpstr>
      <vt:lpstr>_130h_F25</vt:lpstr>
      <vt:lpstr>_130h_F26</vt:lpstr>
      <vt:lpstr>_130h_F27</vt:lpstr>
      <vt:lpstr>_130h_F28</vt:lpstr>
      <vt:lpstr>_130h_F29</vt:lpstr>
      <vt:lpstr>_130h_F30</vt:lpstr>
      <vt:lpstr>_130h_F31</vt:lpstr>
      <vt:lpstr>_130h_F32</vt:lpstr>
      <vt:lpstr>_130h_F33</vt:lpstr>
      <vt:lpstr>_130h_F34</vt:lpstr>
      <vt:lpstr>_130h_F35</vt:lpstr>
      <vt:lpstr>_130h_F36</vt:lpstr>
      <vt:lpstr>_130h_F37</vt:lpstr>
      <vt:lpstr>_130h_F38</vt:lpstr>
      <vt:lpstr>_130h_F39</vt:lpstr>
      <vt:lpstr>_130h_F40</vt:lpstr>
      <vt:lpstr>_130h_F41</vt:lpstr>
      <vt:lpstr>_130h_F42</vt:lpstr>
      <vt:lpstr>_130h_F43</vt:lpstr>
      <vt:lpstr>_130h_F44</vt:lpstr>
      <vt:lpstr>_130h_F45</vt:lpstr>
      <vt:lpstr>_130h_F46</vt:lpstr>
      <vt:lpstr>_130h_F47</vt:lpstr>
      <vt:lpstr>_130h_F48</vt:lpstr>
      <vt:lpstr>_130h_F49</vt:lpstr>
      <vt:lpstr>_130h_F50</vt:lpstr>
      <vt:lpstr>_130h_F51</vt:lpstr>
      <vt:lpstr>_130h_F53</vt:lpstr>
      <vt:lpstr>_130h_F54</vt:lpstr>
      <vt:lpstr>_130h_F55</vt:lpstr>
      <vt:lpstr>_130h_F56</vt:lpstr>
      <vt:lpstr>_130h_F57</vt:lpstr>
      <vt:lpstr>_130h_F58</vt:lpstr>
      <vt:lpstr>_130h_F59</vt:lpstr>
      <vt:lpstr>_130h_F60</vt:lpstr>
      <vt:lpstr>_130h_F61</vt:lpstr>
      <vt:lpstr>_130h_F62</vt:lpstr>
      <vt:lpstr>_130h_F64</vt:lpstr>
      <vt:lpstr>_130h_F65</vt:lpstr>
      <vt:lpstr>_130h_F7</vt:lpstr>
      <vt:lpstr>_130h_F8</vt:lpstr>
      <vt:lpstr>_130h_F9</vt:lpstr>
      <vt:lpstr>_131h_E10</vt:lpstr>
      <vt:lpstr>_131h_E11</vt:lpstr>
      <vt:lpstr>_131h_E12</vt:lpstr>
      <vt:lpstr>_131h_E13</vt:lpstr>
      <vt:lpstr>_131h_E14</vt:lpstr>
      <vt:lpstr>_131h_E15</vt:lpstr>
      <vt:lpstr>_131h_E16</vt:lpstr>
      <vt:lpstr>_131h_E17</vt:lpstr>
      <vt:lpstr>_131h_E18</vt:lpstr>
      <vt:lpstr>_131h_E19</vt:lpstr>
      <vt:lpstr>_131h_E20</vt:lpstr>
      <vt:lpstr>_131h_E21</vt:lpstr>
      <vt:lpstr>_131h_E22</vt:lpstr>
      <vt:lpstr>_131h_E23</vt:lpstr>
      <vt:lpstr>_131h_E24</vt:lpstr>
      <vt:lpstr>_131h_E25</vt:lpstr>
      <vt:lpstr>_131h_E26</vt:lpstr>
      <vt:lpstr>_131h_E27</vt:lpstr>
      <vt:lpstr>_131h_E28</vt:lpstr>
      <vt:lpstr>_131h_E29</vt:lpstr>
      <vt:lpstr>_131h_E30</vt:lpstr>
      <vt:lpstr>_131h_E31</vt:lpstr>
      <vt:lpstr>_131h_E32</vt:lpstr>
      <vt:lpstr>_131h_E33</vt:lpstr>
      <vt:lpstr>_131h_E34</vt:lpstr>
      <vt:lpstr>_131h_E35</vt:lpstr>
      <vt:lpstr>_131h_E36</vt:lpstr>
      <vt:lpstr>_131h_E37</vt:lpstr>
      <vt:lpstr>_131h_E38</vt:lpstr>
      <vt:lpstr>_131h_E39</vt:lpstr>
      <vt:lpstr>_131h_E40</vt:lpstr>
      <vt:lpstr>_131h_E41</vt:lpstr>
      <vt:lpstr>_131h_E42</vt:lpstr>
      <vt:lpstr>_131h_E43</vt:lpstr>
      <vt:lpstr>_131h_E44</vt:lpstr>
      <vt:lpstr>_131h_E45</vt:lpstr>
      <vt:lpstr>_131h_E46</vt:lpstr>
      <vt:lpstr>_131h_E47</vt:lpstr>
      <vt:lpstr>_131h_E48</vt:lpstr>
      <vt:lpstr>_131h_E49</vt:lpstr>
      <vt:lpstr>_131h_E50</vt:lpstr>
      <vt:lpstr>_131h_E51</vt:lpstr>
      <vt:lpstr>_131h_E53</vt:lpstr>
      <vt:lpstr>_131h_E54</vt:lpstr>
      <vt:lpstr>_131h_E55</vt:lpstr>
      <vt:lpstr>_131h_E56</vt:lpstr>
      <vt:lpstr>_131h_E57</vt:lpstr>
      <vt:lpstr>_131h_E58</vt:lpstr>
      <vt:lpstr>_131h_E59</vt:lpstr>
      <vt:lpstr>_131h_E60</vt:lpstr>
      <vt:lpstr>_131h_E61</vt:lpstr>
      <vt:lpstr>_131h_E62</vt:lpstr>
      <vt:lpstr>_131h_E64</vt:lpstr>
      <vt:lpstr>_131h_E65</vt:lpstr>
      <vt:lpstr>_131h_E7</vt:lpstr>
      <vt:lpstr>_131h_E8</vt:lpstr>
      <vt:lpstr>_131h_E9</vt:lpstr>
      <vt:lpstr>_131h_F10</vt:lpstr>
      <vt:lpstr>_131h_F11</vt:lpstr>
      <vt:lpstr>_131h_F12</vt:lpstr>
      <vt:lpstr>_131h_F13</vt:lpstr>
      <vt:lpstr>_131h_F14</vt:lpstr>
      <vt:lpstr>_131h_F15</vt:lpstr>
      <vt:lpstr>_131h_F16</vt:lpstr>
      <vt:lpstr>_131h_F17</vt:lpstr>
      <vt:lpstr>_131h_F18</vt:lpstr>
      <vt:lpstr>_131h_F19</vt:lpstr>
      <vt:lpstr>_131h_F20</vt:lpstr>
      <vt:lpstr>_131h_F21</vt:lpstr>
      <vt:lpstr>_131h_F22</vt:lpstr>
      <vt:lpstr>_131h_F23</vt:lpstr>
      <vt:lpstr>_131h_F24</vt:lpstr>
      <vt:lpstr>_131h_F25</vt:lpstr>
      <vt:lpstr>_131h_F26</vt:lpstr>
      <vt:lpstr>_131h_F27</vt:lpstr>
      <vt:lpstr>_131h_F28</vt:lpstr>
      <vt:lpstr>_131h_F29</vt:lpstr>
      <vt:lpstr>_131h_F30</vt:lpstr>
      <vt:lpstr>_131h_F31</vt:lpstr>
      <vt:lpstr>_131h_F32</vt:lpstr>
      <vt:lpstr>_131h_F33</vt:lpstr>
      <vt:lpstr>_131h_F34</vt:lpstr>
      <vt:lpstr>_131h_F35</vt:lpstr>
      <vt:lpstr>_131h_F36</vt:lpstr>
      <vt:lpstr>_131h_F37</vt:lpstr>
      <vt:lpstr>_131h_F38</vt:lpstr>
      <vt:lpstr>_131h_F39</vt:lpstr>
      <vt:lpstr>_131h_F40</vt:lpstr>
      <vt:lpstr>_131h_F41</vt:lpstr>
      <vt:lpstr>_131h_F42</vt:lpstr>
      <vt:lpstr>_131h_F43</vt:lpstr>
      <vt:lpstr>_131h_F44</vt:lpstr>
      <vt:lpstr>_131h_F45</vt:lpstr>
      <vt:lpstr>_131h_F46</vt:lpstr>
      <vt:lpstr>_131h_F47</vt:lpstr>
      <vt:lpstr>_131h_F48</vt:lpstr>
      <vt:lpstr>_131h_F49</vt:lpstr>
      <vt:lpstr>_131h_F50</vt:lpstr>
      <vt:lpstr>_131h_F51</vt:lpstr>
      <vt:lpstr>_131h_F53</vt:lpstr>
      <vt:lpstr>_131h_F54</vt:lpstr>
      <vt:lpstr>_131h_F55</vt:lpstr>
      <vt:lpstr>_131h_F56</vt:lpstr>
      <vt:lpstr>_131h_F57</vt:lpstr>
      <vt:lpstr>_131h_F58</vt:lpstr>
      <vt:lpstr>_131h_F59</vt:lpstr>
      <vt:lpstr>_131h_F60</vt:lpstr>
      <vt:lpstr>_131h_F61</vt:lpstr>
      <vt:lpstr>_131h_F62</vt:lpstr>
      <vt:lpstr>_131h_F64</vt:lpstr>
      <vt:lpstr>_131h_F65</vt:lpstr>
      <vt:lpstr>_131h_F7</vt:lpstr>
      <vt:lpstr>_131h_F8</vt:lpstr>
      <vt:lpstr>_131h_F9</vt:lpstr>
      <vt:lpstr>_132h_E10</vt:lpstr>
      <vt:lpstr>_132h_E11</vt:lpstr>
      <vt:lpstr>_132h_E12</vt:lpstr>
      <vt:lpstr>_132h_E13</vt:lpstr>
      <vt:lpstr>_132h_E14</vt:lpstr>
      <vt:lpstr>_132h_E15</vt:lpstr>
      <vt:lpstr>_132h_E16</vt:lpstr>
      <vt:lpstr>_132h_E17</vt:lpstr>
      <vt:lpstr>_132h_E18</vt:lpstr>
      <vt:lpstr>_132h_E19</vt:lpstr>
      <vt:lpstr>_132h_E20</vt:lpstr>
      <vt:lpstr>_132h_E21</vt:lpstr>
      <vt:lpstr>_132h_E22</vt:lpstr>
      <vt:lpstr>_132h_E23</vt:lpstr>
      <vt:lpstr>_132h_E24</vt:lpstr>
      <vt:lpstr>_132h_E25</vt:lpstr>
      <vt:lpstr>_132h_E26</vt:lpstr>
      <vt:lpstr>_132h_E27</vt:lpstr>
      <vt:lpstr>_132h_E28</vt:lpstr>
      <vt:lpstr>_132h_E29</vt:lpstr>
      <vt:lpstr>_132h_E30</vt:lpstr>
      <vt:lpstr>_132h_E31</vt:lpstr>
      <vt:lpstr>_132h_E32</vt:lpstr>
      <vt:lpstr>_132h_E33</vt:lpstr>
      <vt:lpstr>_132h_E34</vt:lpstr>
      <vt:lpstr>_132h_E35</vt:lpstr>
      <vt:lpstr>_132h_E36</vt:lpstr>
      <vt:lpstr>_132h_E37</vt:lpstr>
      <vt:lpstr>_132h_E38</vt:lpstr>
      <vt:lpstr>_132h_E39</vt:lpstr>
      <vt:lpstr>_132h_E40</vt:lpstr>
      <vt:lpstr>_132h_E41</vt:lpstr>
      <vt:lpstr>_132h_E42</vt:lpstr>
      <vt:lpstr>_132h_E43</vt:lpstr>
      <vt:lpstr>_132h_E44</vt:lpstr>
      <vt:lpstr>_132h_E45</vt:lpstr>
      <vt:lpstr>_132h_E46</vt:lpstr>
      <vt:lpstr>_132h_E47</vt:lpstr>
      <vt:lpstr>_132h_E48</vt:lpstr>
      <vt:lpstr>_132h_E49</vt:lpstr>
      <vt:lpstr>_132h_E50</vt:lpstr>
      <vt:lpstr>_132h_E51</vt:lpstr>
      <vt:lpstr>_132h_E53</vt:lpstr>
      <vt:lpstr>_132h_E54</vt:lpstr>
      <vt:lpstr>_132h_E55</vt:lpstr>
      <vt:lpstr>_132h_E56</vt:lpstr>
      <vt:lpstr>_132h_E57</vt:lpstr>
      <vt:lpstr>_132h_E58</vt:lpstr>
      <vt:lpstr>_132h_E59</vt:lpstr>
      <vt:lpstr>_132h_E60</vt:lpstr>
      <vt:lpstr>_132h_E61</vt:lpstr>
      <vt:lpstr>_132h_E62</vt:lpstr>
      <vt:lpstr>_132h_E64</vt:lpstr>
      <vt:lpstr>_132h_E65</vt:lpstr>
      <vt:lpstr>_132h_E7</vt:lpstr>
      <vt:lpstr>_132h_E8</vt:lpstr>
      <vt:lpstr>_132h_E9</vt:lpstr>
      <vt:lpstr>_132h_F10</vt:lpstr>
      <vt:lpstr>_132h_F11</vt:lpstr>
      <vt:lpstr>_132h_F12</vt:lpstr>
      <vt:lpstr>_132h_F13</vt:lpstr>
      <vt:lpstr>_132h_F14</vt:lpstr>
      <vt:lpstr>_132h_F15</vt:lpstr>
      <vt:lpstr>_132h_F16</vt:lpstr>
      <vt:lpstr>_132h_F17</vt:lpstr>
      <vt:lpstr>_132h_F18</vt:lpstr>
      <vt:lpstr>_132h_F19</vt:lpstr>
      <vt:lpstr>_132h_F20</vt:lpstr>
      <vt:lpstr>_132h_F21</vt:lpstr>
      <vt:lpstr>_132h_F22</vt:lpstr>
      <vt:lpstr>_132h_F23</vt:lpstr>
      <vt:lpstr>_132h_F24</vt:lpstr>
      <vt:lpstr>_132h_F25</vt:lpstr>
      <vt:lpstr>_132h_F26</vt:lpstr>
      <vt:lpstr>_132h_F27</vt:lpstr>
      <vt:lpstr>_132h_F28</vt:lpstr>
      <vt:lpstr>_132h_F29</vt:lpstr>
      <vt:lpstr>_132h_F30</vt:lpstr>
      <vt:lpstr>_132h_F31</vt:lpstr>
      <vt:lpstr>_132h_F32</vt:lpstr>
      <vt:lpstr>_132h_F33</vt:lpstr>
      <vt:lpstr>_132h_F34</vt:lpstr>
      <vt:lpstr>_132h_F35</vt:lpstr>
      <vt:lpstr>_132h_F36</vt:lpstr>
      <vt:lpstr>_132h_F37</vt:lpstr>
      <vt:lpstr>_132h_F38</vt:lpstr>
      <vt:lpstr>_132h_F39</vt:lpstr>
      <vt:lpstr>_132h_F40</vt:lpstr>
      <vt:lpstr>_132h_F41</vt:lpstr>
      <vt:lpstr>_132h_F42</vt:lpstr>
      <vt:lpstr>_132h_F43</vt:lpstr>
      <vt:lpstr>_132h_F44</vt:lpstr>
      <vt:lpstr>_132h_F45</vt:lpstr>
      <vt:lpstr>_132h_F46</vt:lpstr>
      <vt:lpstr>_132h_F47</vt:lpstr>
      <vt:lpstr>_132h_F48</vt:lpstr>
      <vt:lpstr>_132h_F49</vt:lpstr>
      <vt:lpstr>_132h_F50</vt:lpstr>
      <vt:lpstr>_132h_F51</vt:lpstr>
      <vt:lpstr>_132h_F53</vt:lpstr>
      <vt:lpstr>_132h_F54</vt:lpstr>
      <vt:lpstr>_132h_F55</vt:lpstr>
      <vt:lpstr>_132h_F56</vt:lpstr>
      <vt:lpstr>_132h_F57</vt:lpstr>
      <vt:lpstr>_132h_F58</vt:lpstr>
      <vt:lpstr>_132h_F59</vt:lpstr>
      <vt:lpstr>_132h_F60</vt:lpstr>
      <vt:lpstr>_132h_F61</vt:lpstr>
      <vt:lpstr>_132h_F62</vt:lpstr>
      <vt:lpstr>_132h_F64</vt:lpstr>
      <vt:lpstr>_132h_F65</vt:lpstr>
      <vt:lpstr>_132h_F7</vt:lpstr>
      <vt:lpstr>_132h_F8</vt:lpstr>
      <vt:lpstr>_132h_F9</vt:lpstr>
      <vt:lpstr>_133h_E10</vt:lpstr>
      <vt:lpstr>_133h_E11</vt:lpstr>
      <vt:lpstr>_133h_E12</vt:lpstr>
      <vt:lpstr>_133h_E13</vt:lpstr>
      <vt:lpstr>_133h_E14</vt:lpstr>
      <vt:lpstr>_133h_E15</vt:lpstr>
      <vt:lpstr>_133h_E16</vt:lpstr>
      <vt:lpstr>_133h_E17</vt:lpstr>
      <vt:lpstr>_133h_E18</vt:lpstr>
      <vt:lpstr>_133h_E19</vt:lpstr>
      <vt:lpstr>_133h_E20</vt:lpstr>
      <vt:lpstr>_133h_E21</vt:lpstr>
      <vt:lpstr>_133h_E22</vt:lpstr>
      <vt:lpstr>_133h_E23</vt:lpstr>
      <vt:lpstr>_133h_E24</vt:lpstr>
      <vt:lpstr>_133h_E25</vt:lpstr>
      <vt:lpstr>_133h_E26</vt:lpstr>
      <vt:lpstr>_133h_E27</vt:lpstr>
      <vt:lpstr>_133h_E28</vt:lpstr>
      <vt:lpstr>_133h_E29</vt:lpstr>
      <vt:lpstr>_133h_E30</vt:lpstr>
      <vt:lpstr>_133h_E31</vt:lpstr>
      <vt:lpstr>_133h_E32</vt:lpstr>
      <vt:lpstr>_133h_E33</vt:lpstr>
      <vt:lpstr>_133h_E34</vt:lpstr>
      <vt:lpstr>_133h_E35</vt:lpstr>
      <vt:lpstr>_133h_E36</vt:lpstr>
      <vt:lpstr>_133h_E37</vt:lpstr>
      <vt:lpstr>_133h_E38</vt:lpstr>
      <vt:lpstr>_133h_E39</vt:lpstr>
      <vt:lpstr>_133h_E40</vt:lpstr>
      <vt:lpstr>_133h_E41</vt:lpstr>
      <vt:lpstr>_133h_E42</vt:lpstr>
      <vt:lpstr>_133h_E43</vt:lpstr>
      <vt:lpstr>_133h_E44</vt:lpstr>
      <vt:lpstr>_133h_E45</vt:lpstr>
      <vt:lpstr>_133h_E46</vt:lpstr>
      <vt:lpstr>_133h_E47</vt:lpstr>
      <vt:lpstr>_133h_E48</vt:lpstr>
      <vt:lpstr>_133h_E49</vt:lpstr>
      <vt:lpstr>_133h_E50</vt:lpstr>
      <vt:lpstr>_133h_E51</vt:lpstr>
      <vt:lpstr>_133h_E53</vt:lpstr>
      <vt:lpstr>_133h_E54</vt:lpstr>
      <vt:lpstr>_133h_E55</vt:lpstr>
      <vt:lpstr>_133h_E56</vt:lpstr>
      <vt:lpstr>_133h_E57</vt:lpstr>
      <vt:lpstr>_133h_E58</vt:lpstr>
      <vt:lpstr>_133h_E59</vt:lpstr>
      <vt:lpstr>_133h_E60</vt:lpstr>
      <vt:lpstr>_133h_E61</vt:lpstr>
      <vt:lpstr>_133h_E62</vt:lpstr>
      <vt:lpstr>_133h_E63</vt:lpstr>
      <vt:lpstr>_133h_E64</vt:lpstr>
      <vt:lpstr>_133h_E65</vt:lpstr>
      <vt:lpstr>_133h_E7</vt:lpstr>
      <vt:lpstr>_133h_E8</vt:lpstr>
      <vt:lpstr>_133h_E9</vt:lpstr>
      <vt:lpstr>_133h_F10</vt:lpstr>
      <vt:lpstr>_133h_F11</vt:lpstr>
      <vt:lpstr>_133h_F12</vt:lpstr>
      <vt:lpstr>_133h_F13</vt:lpstr>
      <vt:lpstr>_133h_F14</vt:lpstr>
      <vt:lpstr>_133h_F15</vt:lpstr>
      <vt:lpstr>_133h_F16</vt:lpstr>
      <vt:lpstr>_133h_F17</vt:lpstr>
      <vt:lpstr>_133h_F18</vt:lpstr>
      <vt:lpstr>_133h_F19</vt:lpstr>
      <vt:lpstr>_133h_F20</vt:lpstr>
      <vt:lpstr>_133h_F21</vt:lpstr>
      <vt:lpstr>_133h_F22</vt:lpstr>
      <vt:lpstr>_133h_F23</vt:lpstr>
      <vt:lpstr>_133h_F24</vt:lpstr>
      <vt:lpstr>_133h_F25</vt:lpstr>
      <vt:lpstr>_133h_F26</vt:lpstr>
      <vt:lpstr>_133h_F27</vt:lpstr>
      <vt:lpstr>_133h_F28</vt:lpstr>
      <vt:lpstr>_133h_F29</vt:lpstr>
      <vt:lpstr>_133h_F30</vt:lpstr>
      <vt:lpstr>_133h_F31</vt:lpstr>
      <vt:lpstr>_133h_F32</vt:lpstr>
      <vt:lpstr>_133h_F33</vt:lpstr>
      <vt:lpstr>_133h_F34</vt:lpstr>
      <vt:lpstr>_133h_F35</vt:lpstr>
      <vt:lpstr>_133h_F36</vt:lpstr>
      <vt:lpstr>_133h_F37</vt:lpstr>
      <vt:lpstr>_133h_F38</vt:lpstr>
      <vt:lpstr>_133h_F39</vt:lpstr>
      <vt:lpstr>_133h_F40</vt:lpstr>
      <vt:lpstr>_133h_F41</vt:lpstr>
      <vt:lpstr>_133h_F42</vt:lpstr>
      <vt:lpstr>_133h_F43</vt:lpstr>
      <vt:lpstr>_133h_F44</vt:lpstr>
      <vt:lpstr>_133h_F45</vt:lpstr>
      <vt:lpstr>_133h_F46</vt:lpstr>
      <vt:lpstr>_133h_F47</vt:lpstr>
      <vt:lpstr>_133h_F48</vt:lpstr>
      <vt:lpstr>_133h_F49</vt:lpstr>
      <vt:lpstr>_133h_F50</vt:lpstr>
      <vt:lpstr>_133h_F51</vt:lpstr>
      <vt:lpstr>_133h_F53</vt:lpstr>
      <vt:lpstr>_133h_F54</vt:lpstr>
      <vt:lpstr>_133h_F55</vt:lpstr>
      <vt:lpstr>_133h_F56</vt:lpstr>
      <vt:lpstr>_133h_F57</vt:lpstr>
      <vt:lpstr>_133h_F58</vt:lpstr>
      <vt:lpstr>_133h_F59</vt:lpstr>
      <vt:lpstr>_133h_F60</vt:lpstr>
      <vt:lpstr>_133h_F61</vt:lpstr>
      <vt:lpstr>_133h_F62</vt:lpstr>
      <vt:lpstr>_133h_F63</vt:lpstr>
      <vt:lpstr>_133h_F64</vt:lpstr>
      <vt:lpstr>_133h_F65</vt:lpstr>
      <vt:lpstr>_133h_F7</vt:lpstr>
      <vt:lpstr>_133h_F8</vt:lpstr>
      <vt:lpstr>_133h_F9</vt:lpstr>
      <vt:lpstr>_134h_E10</vt:lpstr>
      <vt:lpstr>_134h_E11</vt:lpstr>
      <vt:lpstr>_134h_E12</vt:lpstr>
      <vt:lpstr>_134h_E13</vt:lpstr>
      <vt:lpstr>_134h_E14</vt:lpstr>
      <vt:lpstr>_134h_E15</vt:lpstr>
      <vt:lpstr>_134h_E16</vt:lpstr>
      <vt:lpstr>_134h_E17</vt:lpstr>
      <vt:lpstr>_134h_E18</vt:lpstr>
      <vt:lpstr>_134h_E19</vt:lpstr>
      <vt:lpstr>_134h_E20</vt:lpstr>
      <vt:lpstr>_134h_E21</vt:lpstr>
      <vt:lpstr>_134h_E22</vt:lpstr>
      <vt:lpstr>_134h_E23</vt:lpstr>
      <vt:lpstr>_134h_E24</vt:lpstr>
      <vt:lpstr>_134h_E25</vt:lpstr>
      <vt:lpstr>_134h_E26</vt:lpstr>
      <vt:lpstr>_134h_E27</vt:lpstr>
      <vt:lpstr>_134h_E28</vt:lpstr>
      <vt:lpstr>_134h_E29</vt:lpstr>
      <vt:lpstr>_134h_E30</vt:lpstr>
      <vt:lpstr>_134h_E31</vt:lpstr>
      <vt:lpstr>_134h_E32</vt:lpstr>
      <vt:lpstr>_134h_E33</vt:lpstr>
      <vt:lpstr>_134h_E34</vt:lpstr>
      <vt:lpstr>_134h_E35</vt:lpstr>
      <vt:lpstr>_134h_E36</vt:lpstr>
      <vt:lpstr>_134h_E37</vt:lpstr>
      <vt:lpstr>_134h_E38</vt:lpstr>
      <vt:lpstr>_134h_E39</vt:lpstr>
      <vt:lpstr>_134h_E40</vt:lpstr>
      <vt:lpstr>_134h_E41</vt:lpstr>
      <vt:lpstr>_134h_E42</vt:lpstr>
      <vt:lpstr>_134h_E43</vt:lpstr>
      <vt:lpstr>_134h_E44</vt:lpstr>
      <vt:lpstr>_134h_E45</vt:lpstr>
      <vt:lpstr>_134h_E46</vt:lpstr>
      <vt:lpstr>_134h_E47</vt:lpstr>
      <vt:lpstr>_134h_E48</vt:lpstr>
      <vt:lpstr>_134h_E49</vt:lpstr>
      <vt:lpstr>_134h_E50</vt:lpstr>
      <vt:lpstr>_134h_E51</vt:lpstr>
      <vt:lpstr>_134h_E53</vt:lpstr>
      <vt:lpstr>_134h_E54</vt:lpstr>
      <vt:lpstr>_134h_E55</vt:lpstr>
      <vt:lpstr>_134h_E56</vt:lpstr>
      <vt:lpstr>_134h_E57</vt:lpstr>
      <vt:lpstr>_134h_E58</vt:lpstr>
      <vt:lpstr>_134h_E59</vt:lpstr>
      <vt:lpstr>_134h_E60</vt:lpstr>
      <vt:lpstr>_134h_E61</vt:lpstr>
      <vt:lpstr>_134h_E62</vt:lpstr>
      <vt:lpstr>_134h_E63</vt:lpstr>
      <vt:lpstr>_134h_E64</vt:lpstr>
      <vt:lpstr>_134h_E65</vt:lpstr>
      <vt:lpstr>_134h_E7</vt:lpstr>
      <vt:lpstr>_134h_E8</vt:lpstr>
      <vt:lpstr>_134h_E9</vt:lpstr>
      <vt:lpstr>_134h_F10</vt:lpstr>
      <vt:lpstr>_134h_F11</vt:lpstr>
      <vt:lpstr>_134h_F12</vt:lpstr>
      <vt:lpstr>_134h_F13</vt:lpstr>
      <vt:lpstr>_134h_F14</vt:lpstr>
      <vt:lpstr>_134h_F15</vt:lpstr>
      <vt:lpstr>_134h_F16</vt:lpstr>
      <vt:lpstr>_134h_F17</vt:lpstr>
      <vt:lpstr>_134h_F18</vt:lpstr>
      <vt:lpstr>_134h_F19</vt:lpstr>
      <vt:lpstr>_134h_F20</vt:lpstr>
      <vt:lpstr>_134h_F21</vt:lpstr>
      <vt:lpstr>_134h_F22</vt:lpstr>
      <vt:lpstr>_134h_F23</vt:lpstr>
      <vt:lpstr>_134h_F24</vt:lpstr>
      <vt:lpstr>_134h_F25</vt:lpstr>
      <vt:lpstr>_134h_F26</vt:lpstr>
      <vt:lpstr>_134h_F27</vt:lpstr>
      <vt:lpstr>_134h_F28</vt:lpstr>
      <vt:lpstr>_134h_F29</vt:lpstr>
      <vt:lpstr>_134h_F30</vt:lpstr>
      <vt:lpstr>_134h_F31</vt:lpstr>
      <vt:lpstr>_134h_F32</vt:lpstr>
      <vt:lpstr>_134h_F33</vt:lpstr>
      <vt:lpstr>_134h_F34</vt:lpstr>
      <vt:lpstr>_134h_F35</vt:lpstr>
      <vt:lpstr>_134h_F36</vt:lpstr>
      <vt:lpstr>_134h_F37</vt:lpstr>
      <vt:lpstr>_134h_F38</vt:lpstr>
      <vt:lpstr>_134h_F39</vt:lpstr>
      <vt:lpstr>_134h_F40</vt:lpstr>
      <vt:lpstr>_134h_F41</vt:lpstr>
      <vt:lpstr>_134h_F42</vt:lpstr>
      <vt:lpstr>_134h_F43</vt:lpstr>
      <vt:lpstr>_134h_F44</vt:lpstr>
      <vt:lpstr>_134h_F45</vt:lpstr>
      <vt:lpstr>_134h_F46</vt:lpstr>
      <vt:lpstr>_134h_F47</vt:lpstr>
      <vt:lpstr>_134h_F48</vt:lpstr>
      <vt:lpstr>_134h_F49</vt:lpstr>
      <vt:lpstr>_134h_F50</vt:lpstr>
      <vt:lpstr>_134h_F51</vt:lpstr>
      <vt:lpstr>_134h_F53</vt:lpstr>
      <vt:lpstr>_134h_F54</vt:lpstr>
      <vt:lpstr>_134h_F55</vt:lpstr>
      <vt:lpstr>_134h_F56</vt:lpstr>
      <vt:lpstr>_134h_F57</vt:lpstr>
      <vt:lpstr>_134h_F58</vt:lpstr>
      <vt:lpstr>_134h_F59</vt:lpstr>
      <vt:lpstr>_134h_F60</vt:lpstr>
      <vt:lpstr>_134h_F61</vt:lpstr>
      <vt:lpstr>_134h_F62</vt:lpstr>
      <vt:lpstr>_134h_F63</vt:lpstr>
      <vt:lpstr>_134h_F64</vt:lpstr>
      <vt:lpstr>_134h_F65</vt:lpstr>
      <vt:lpstr>_134h_F7</vt:lpstr>
      <vt:lpstr>_134h_F8</vt:lpstr>
      <vt:lpstr>_134h_F9</vt:lpstr>
      <vt:lpstr>_135h_E10</vt:lpstr>
      <vt:lpstr>_135h_E11</vt:lpstr>
      <vt:lpstr>_135h_E12</vt:lpstr>
      <vt:lpstr>_135h_E13</vt:lpstr>
      <vt:lpstr>_135h_E14</vt:lpstr>
      <vt:lpstr>_135h_E15</vt:lpstr>
      <vt:lpstr>_135h_E16</vt:lpstr>
      <vt:lpstr>_135h_E17</vt:lpstr>
      <vt:lpstr>_135h_E18</vt:lpstr>
      <vt:lpstr>_135h_E19</vt:lpstr>
      <vt:lpstr>_135h_E20</vt:lpstr>
      <vt:lpstr>_135h_E21</vt:lpstr>
      <vt:lpstr>_135h_E22</vt:lpstr>
      <vt:lpstr>_135h_E23</vt:lpstr>
      <vt:lpstr>_135h_E24</vt:lpstr>
      <vt:lpstr>_135h_E25</vt:lpstr>
      <vt:lpstr>_135h_E26</vt:lpstr>
      <vt:lpstr>_135h_E27</vt:lpstr>
      <vt:lpstr>_135h_E28</vt:lpstr>
      <vt:lpstr>_135h_E29</vt:lpstr>
      <vt:lpstr>_135h_E30</vt:lpstr>
      <vt:lpstr>_135h_E31</vt:lpstr>
      <vt:lpstr>_135h_E32</vt:lpstr>
      <vt:lpstr>_135h_E33</vt:lpstr>
      <vt:lpstr>_135h_E34</vt:lpstr>
      <vt:lpstr>_135h_E35</vt:lpstr>
      <vt:lpstr>_135h_E36</vt:lpstr>
      <vt:lpstr>_135h_E37</vt:lpstr>
      <vt:lpstr>_135h_E38</vt:lpstr>
      <vt:lpstr>_135h_E39</vt:lpstr>
      <vt:lpstr>_135h_E40</vt:lpstr>
      <vt:lpstr>_135h_E41</vt:lpstr>
      <vt:lpstr>_135h_E42</vt:lpstr>
      <vt:lpstr>_135h_E43</vt:lpstr>
      <vt:lpstr>_135h_E44</vt:lpstr>
      <vt:lpstr>_135h_E45</vt:lpstr>
      <vt:lpstr>_135h_E46</vt:lpstr>
      <vt:lpstr>_135h_E47</vt:lpstr>
      <vt:lpstr>_135h_E48</vt:lpstr>
      <vt:lpstr>_135h_E49</vt:lpstr>
      <vt:lpstr>_135h_E50</vt:lpstr>
      <vt:lpstr>_135h_E51</vt:lpstr>
      <vt:lpstr>_135h_E53</vt:lpstr>
      <vt:lpstr>_135h_E54</vt:lpstr>
      <vt:lpstr>_135h_E55</vt:lpstr>
      <vt:lpstr>_135h_E56</vt:lpstr>
      <vt:lpstr>_135h_E57</vt:lpstr>
      <vt:lpstr>_135h_E58</vt:lpstr>
      <vt:lpstr>_135h_E59</vt:lpstr>
      <vt:lpstr>_135h_E60</vt:lpstr>
      <vt:lpstr>_135h_E61</vt:lpstr>
      <vt:lpstr>_135h_E62</vt:lpstr>
      <vt:lpstr>_135h_E64</vt:lpstr>
      <vt:lpstr>_135h_E65</vt:lpstr>
      <vt:lpstr>_135h_E7</vt:lpstr>
      <vt:lpstr>_135h_E8</vt:lpstr>
      <vt:lpstr>_135h_E9</vt:lpstr>
      <vt:lpstr>_135h_F10</vt:lpstr>
      <vt:lpstr>_135h_F11</vt:lpstr>
      <vt:lpstr>_135h_F12</vt:lpstr>
      <vt:lpstr>_135h_F13</vt:lpstr>
      <vt:lpstr>_135h_F14</vt:lpstr>
      <vt:lpstr>_135h_F15</vt:lpstr>
      <vt:lpstr>_135h_F16</vt:lpstr>
      <vt:lpstr>_135h_F17</vt:lpstr>
      <vt:lpstr>_135h_F18</vt:lpstr>
      <vt:lpstr>_135h_F19</vt:lpstr>
      <vt:lpstr>_135h_F20</vt:lpstr>
      <vt:lpstr>_135h_F21</vt:lpstr>
      <vt:lpstr>_135h_F22</vt:lpstr>
      <vt:lpstr>_135h_F23</vt:lpstr>
      <vt:lpstr>_135h_F24</vt:lpstr>
      <vt:lpstr>_135h_F25</vt:lpstr>
      <vt:lpstr>_135h_F26</vt:lpstr>
      <vt:lpstr>_135h_F27</vt:lpstr>
      <vt:lpstr>_135h_F28</vt:lpstr>
      <vt:lpstr>_135h_F29</vt:lpstr>
      <vt:lpstr>_135h_F30</vt:lpstr>
      <vt:lpstr>_135h_F31</vt:lpstr>
      <vt:lpstr>_135h_F32</vt:lpstr>
      <vt:lpstr>_135h_F33</vt:lpstr>
      <vt:lpstr>_135h_F34</vt:lpstr>
      <vt:lpstr>_135h_F35</vt:lpstr>
      <vt:lpstr>_135h_F36</vt:lpstr>
      <vt:lpstr>_135h_F37</vt:lpstr>
      <vt:lpstr>_135h_F38</vt:lpstr>
      <vt:lpstr>_135h_F39</vt:lpstr>
      <vt:lpstr>_135h_F40</vt:lpstr>
      <vt:lpstr>_135h_F41</vt:lpstr>
      <vt:lpstr>_135h_F42</vt:lpstr>
      <vt:lpstr>_135h_F43</vt:lpstr>
      <vt:lpstr>_135h_F44</vt:lpstr>
      <vt:lpstr>_135h_F45</vt:lpstr>
      <vt:lpstr>_135h_F46</vt:lpstr>
      <vt:lpstr>_135h_F47</vt:lpstr>
      <vt:lpstr>_135h_F48</vt:lpstr>
      <vt:lpstr>_135h_F49</vt:lpstr>
      <vt:lpstr>_135h_F50</vt:lpstr>
      <vt:lpstr>_135h_F51</vt:lpstr>
      <vt:lpstr>_135h_F53</vt:lpstr>
      <vt:lpstr>_135h_F54</vt:lpstr>
      <vt:lpstr>_135h_F55</vt:lpstr>
      <vt:lpstr>_135h_F56</vt:lpstr>
      <vt:lpstr>_135h_F57</vt:lpstr>
      <vt:lpstr>_135h_F58</vt:lpstr>
      <vt:lpstr>_135h_F59</vt:lpstr>
      <vt:lpstr>_135h_F60</vt:lpstr>
      <vt:lpstr>_135h_F61</vt:lpstr>
      <vt:lpstr>_135h_F62</vt:lpstr>
      <vt:lpstr>_135h_F64</vt:lpstr>
      <vt:lpstr>_135h_F65</vt:lpstr>
      <vt:lpstr>_135h_F7</vt:lpstr>
      <vt:lpstr>_135h_F8</vt:lpstr>
      <vt:lpstr>_135h_F9</vt:lpstr>
      <vt:lpstr>_136h_E10</vt:lpstr>
      <vt:lpstr>_136h_E11</vt:lpstr>
      <vt:lpstr>_136h_E12</vt:lpstr>
      <vt:lpstr>_136h_E13</vt:lpstr>
      <vt:lpstr>_136h_E14</vt:lpstr>
      <vt:lpstr>_136h_E15</vt:lpstr>
      <vt:lpstr>_136h_E16</vt:lpstr>
      <vt:lpstr>_136h_E17</vt:lpstr>
      <vt:lpstr>_136h_E18</vt:lpstr>
      <vt:lpstr>_136h_E19</vt:lpstr>
      <vt:lpstr>_136h_E20</vt:lpstr>
      <vt:lpstr>_136h_E21</vt:lpstr>
      <vt:lpstr>_136h_E22</vt:lpstr>
      <vt:lpstr>_136h_E23</vt:lpstr>
      <vt:lpstr>_136h_E24</vt:lpstr>
      <vt:lpstr>_136h_E25</vt:lpstr>
      <vt:lpstr>_136h_E26</vt:lpstr>
      <vt:lpstr>_136h_E27</vt:lpstr>
      <vt:lpstr>_136h_E28</vt:lpstr>
      <vt:lpstr>_136h_E29</vt:lpstr>
      <vt:lpstr>_136h_E30</vt:lpstr>
      <vt:lpstr>_136h_E31</vt:lpstr>
      <vt:lpstr>_136h_E32</vt:lpstr>
      <vt:lpstr>_136h_E33</vt:lpstr>
      <vt:lpstr>_136h_E34</vt:lpstr>
      <vt:lpstr>_136h_E35</vt:lpstr>
      <vt:lpstr>_136h_E36</vt:lpstr>
      <vt:lpstr>_136h_E37</vt:lpstr>
      <vt:lpstr>_136h_E38</vt:lpstr>
      <vt:lpstr>_136h_E39</vt:lpstr>
      <vt:lpstr>_136h_E40</vt:lpstr>
      <vt:lpstr>_136h_E41</vt:lpstr>
      <vt:lpstr>_136h_E42</vt:lpstr>
      <vt:lpstr>_136h_E43</vt:lpstr>
      <vt:lpstr>_136h_E44</vt:lpstr>
      <vt:lpstr>_136h_E45</vt:lpstr>
      <vt:lpstr>_136h_E46</vt:lpstr>
      <vt:lpstr>_136h_E47</vt:lpstr>
      <vt:lpstr>_136h_E48</vt:lpstr>
      <vt:lpstr>_136h_E49</vt:lpstr>
      <vt:lpstr>_136h_E50</vt:lpstr>
      <vt:lpstr>_136h_E51</vt:lpstr>
      <vt:lpstr>_136h_E53</vt:lpstr>
      <vt:lpstr>_136h_E54</vt:lpstr>
      <vt:lpstr>_136h_E55</vt:lpstr>
      <vt:lpstr>_136h_E56</vt:lpstr>
      <vt:lpstr>_136h_E57</vt:lpstr>
      <vt:lpstr>_136h_E58</vt:lpstr>
      <vt:lpstr>_136h_E59</vt:lpstr>
      <vt:lpstr>_136h_E60</vt:lpstr>
      <vt:lpstr>_136h_E61</vt:lpstr>
      <vt:lpstr>_136h_E62</vt:lpstr>
      <vt:lpstr>_136h_E64</vt:lpstr>
      <vt:lpstr>_136h_E65</vt:lpstr>
      <vt:lpstr>_136h_E7</vt:lpstr>
      <vt:lpstr>_136h_E8</vt:lpstr>
      <vt:lpstr>_136h_E9</vt:lpstr>
      <vt:lpstr>_136h_F10</vt:lpstr>
      <vt:lpstr>_136h_F11</vt:lpstr>
      <vt:lpstr>_136h_F12</vt:lpstr>
      <vt:lpstr>_136h_F13</vt:lpstr>
      <vt:lpstr>_136h_F14</vt:lpstr>
      <vt:lpstr>_136h_F15</vt:lpstr>
      <vt:lpstr>_136h_F16</vt:lpstr>
      <vt:lpstr>_136h_F17</vt:lpstr>
      <vt:lpstr>_136h_F18</vt:lpstr>
      <vt:lpstr>_136h_F19</vt:lpstr>
      <vt:lpstr>_136h_F20</vt:lpstr>
      <vt:lpstr>_136h_F21</vt:lpstr>
      <vt:lpstr>_136h_F22</vt:lpstr>
      <vt:lpstr>_136h_F23</vt:lpstr>
      <vt:lpstr>_136h_F24</vt:lpstr>
      <vt:lpstr>_136h_F25</vt:lpstr>
      <vt:lpstr>_136h_F26</vt:lpstr>
      <vt:lpstr>_136h_F27</vt:lpstr>
      <vt:lpstr>_136h_F28</vt:lpstr>
      <vt:lpstr>_136h_F29</vt:lpstr>
      <vt:lpstr>_136h_F30</vt:lpstr>
      <vt:lpstr>_136h_F31</vt:lpstr>
      <vt:lpstr>_136h_F32</vt:lpstr>
      <vt:lpstr>_136h_F33</vt:lpstr>
      <vt:lpstr>_136h_F34</vt:lpstr>
      <vt:lpstr>_136h_F35</vt:lpstr>
      <vt:lpstr>_136h_F36</vt:lpstr>
      <vt:lpstr>_136h_F37</vt:lpstr>
      <vt:lpstr>_136h_F38</vt:lpstr>
      <vt:lpstr>_136h_F39</vt:lpstr>
      <vt:lpstr>_136h_F40</vt:lpstr>
      <vt:lpstr>_136h_F41</vt:lpstr>
      <vt:lpstr>_136h_F42</vt:lpstr>
      <vt:lpstr>_136h_F43</vt:lpstr>
      <vt:lpstr>_136h_F44</vt:lpstr>
      <vt:lpstr>_136h_F45</vt:lpstr>
      <vt:lpstr>_136h_F46</vt:lpstr>
      <vt:lpstr>_136h_F47</vt:lpstr>
      <vt:lpstr>_136h_F48</vt:lpstr>
      <vt:lpstr>_136h_F49</vt:lpstr>
      <vt:lpstr>_136h_F50</vt:lpstr>
      <vt:lpstr>_136h_F51</vt:lpstr>
      <vt:lpstr>_136h_F53</vt:lpstr>
      <vt:lpstr>_136h_F54</vt:lpstr>
      <vt:lpstr>_136h_F55</vt:lpstr>
      <vt:lpstr>_136h_F56</vt:lpstr>
      <vt:lpstr>_136h_F57</vt:lpstr>
      <vt:lpstr>_136h_F58</vt:lpstr>
      <vt:lpstr>_136h_F59</vt:lpstr>
      <vt:lpstr>_136h_F60</vt:lpstr>
      <vt:lpstr>_136h_F61</vt:lpstr>
      <vt:lpstr>_136h_F62</vt:lpstr>
      <vt:lpstr>_136h_F64</vt:lpstr>
      <vt:lpstr>_136h_F65</vt:lpstr>
      <vt:lpstr>_136h_F7</vt:lpstr>
      <vt:lpstr>_136h_F8</vt:lpstr>
      <vt:lpstr>_136h_F9</vt:lpstr>
      <vt:lpstr>_13h_E10</vt:lpstr>
      <vt:lpstr>_13h_E11</vt:lpstr>
      <vt:lpstr>_13h_E12</vt:lpstr>
      <vt:lpstr>_13h_E13</vt:lpstr>
      <vt:lpstr>_13h_E14</vt:lpstr>
      <vt:lpstr>_13h_E15</vt:lpstr>
      <vt:lpstr>_13h_E16</vt:lpstr>
      <vt:lpstr>_13h_E17</vt:lpstr>
      <vt:lpstr>_13h_E18</vt:lpstr>
      <vt:lpstr>_13h_E19</vt:lpstr>
      <vt:lpstr>_13h_E20</vt:lpstr>
      <vt:lpstr>_13h_E21</vt:lpstr>
      <vt:lpstr>_13h_E22</vt:lpstr>
      <vt:lpstr>_13h_E23</vt:lpstr>
      <vt:lpstr>_13h_E24</vt:lpstr>
      <vt:lpstr>_13h_E25</vt:lpstr>
      <vt:lpstr>_13h_E26</vt:lpstr>
      <vt:lpstr>_13h_E27</vt:lpstr>
      <vt:lpstr>_13h_E28</vt:lpstr>
      <vt:lpstr>_13h_E29</vt:lpstr>
      <vt:lpstr>_13h_E30</vt:lpstr>
      <vt:lpstr>_13h_E31</vt:lpstr>
      <vt:lpstr>_13h_E32</vt:lpstr>
      <vt:lpstr>_13h_E33</vt:lpstr>
      <vt:lpstr>_13h_E34</vt:lpstr>
      <vt:lpstr>_13h_E35</vt:lpstr>
      <vt:lpstr>_13h_E36</vt:lpstr>
      <vt:lpstr>_13h_E37</vt:lpstr>
      <vt:lpstr>_13h_E38</vt:lpstr>
      <vt:lpstr>_13h_E39</vt:lpstr>
      <vt:lpstr>_13h_E40</vt:lpstr>
      <vt:lpstr>_13h_E41</vt:lpstr>
      <vt:lpstr>_13h_E42</vt:lpstr>
      <vt:lpstr>_13h_E43</vt:lpstr>
      <vt:lpstr>_13h_E44</vt:lpstr>
      <vt:lpstr>_13h_E45</vt:lpstr>
      <vt:lpstr>_13h_E46</vt:lpstr>
      <vt:lpstr>_13h_E47</vt:lpstr>
      <vt:lpstr>_13h_E48</vt:lpstr>
      <vt:lpstr>_13h_E49</vt:lpstr>
      <vt:lpstr>_13h_E50</vt:lpstr>
      <vt:lpstr>_13h_E51</vt:lpstr>
      <vt:lpstr>_13h_E53</vt:lpstr>
      <vt:lpstr>_13h_E54</vt:lpstr>
      <vt:lpstr>_13h_E55</vt:lpstr>
      <vt:lpstr>_13h_E56</vt:lpstr>
      <vt:lpstr>_13h_E57</vt:lpstr>
      <vt:lpstr>_13h_E58</vt:lpstr>
      <vt:lpstr>_13h_E59</vt:lpstr>
      <vt:lpstr>_13h_E60</vt:lpstr>
      <vt:lpstr>_13h_E61</vt:lpstr>
      <vt:lpstr>_13h_E62</vt:lpstr>
      <vt:lpstr>_13h_E64</vt:lpstr>
      <vt:lpstr>_13h_E65</vt:lpstr>
      <vt:lpstr>_13h_E7</vt:lpstr>
      <vt:lpstr>_13h_E8</vt:lpstr>
      <vt:lpstr>_13h_E9</vt:lpstr>
      <vt:lpstr>_13h_F10</vt:lpstr>
      <vt:lpstr>_13h_F11</vt:lpstr>
      <vt:lpstr>_13h_F12</vt:lpstr>
      <vt:lpstr>_13h_F13</vt:lpstr>
      <vt:lpstr>_13h_F14</vt:lpstr>
      <vt:lpstr>_13h_F15</vt:lpstr>
      <vt:lpstr>_13h_F16</vt:lpstr>
      <vt:lpstr>_13h_F17</vt:lpstr>
      <vt:lpstr>_13h_F18</vt:lpstr>
      <vt:lpstr>_13h_F19</vt:lpstr>
      <vt:lpstr>_13h_F20</vt:lpstr>
      <vt:lpstr>_13h_F21</vt:lpstr>
      <vt:lpstr>_13h_F22</vt:lpstr>
      <vt:lpstr>_13h_F23</vt:lpstr>
      <vt:lpstr>_13h_F24</vt:lpstr>
      <vt:lpstr>_13h_F25</vt:lpstr>
      <vt:lpstr>_13h_F26</vt:lpstr>
      <vt:lpstr>_13h_F27</vt:lpstr>
      <vt:lpstr>_13h_F28</vt:lpstr>
      <vt:lpstr>_13h_F29</vt:lpstr>
      <vt:lpstr>_13h_F30</vt:lpstr>
      <vt:lpstr>_13h_F31</vt:lpstr>
      <vt:lpstr>_13h_F32</vt:lpstr>
      <vt:lpstr>_13h_F33</vt:lpstr>
      <vt:lpstr>_13h_F34</vt:lpstr>
      <vt:lpstr>_13h_F35</vt:lpstr>
      <vt:lpstr>_13h_F36</vt:lpstr>
      <vt:lpstr>_13h_F37</vt:lpstr>
      <vt:lpstr>_13h_F38</vt:lpstr>
      <vt:lpstr>_13h_F39</vt:lpstr>
      <vt:lpstr>_13h_F40</vt:lpstr>
      <vt:lpstr>_13h_F41</vt:lpstr>
      <vt:lpstr>_13h_F42</vt:lpstr>
      <vt:lpstr>_13h_F43</vt:lpstr>
      <vt:lpstr>_13h_F44</vt:lpstr>
      <vt:lpstr>_13h_F45</vt:lpstr>
      <vt:lpstr>_13h_F46</vt:lpstr>
      <vt:lpstr>_13h_F47</vt:lpstr>
      <vt:lpstr>_13h_F48</vt:lpstr>
      <vt:lpstr>_13h_F49</vt:lpstr>
      <vt:lpstr>_13h_F50</vt:lpstr>
      <vt:lpstr>_13h_F51</vt:lpstr>
      <vt:lpstr>_13h_F53</vt:lpstr>
      <vt:lpstr>_13h_F54</vt:lpstr>
      <vt:lpstr>_13h_F55</vt:lpstr>
      <vt:lpstr>_13h_F56</vt:lpstr>
      <vt:lpstr>_13h_F57</vt:lpstr>
      <vt:lpstr>_13h_F58</vt:lpstr>
      <vt:lpstr>_13h_F59</vt:lpstr>
      <vt:lpstr>_13h_F60</vt:lpstr>
      <vt:lpstr>_13h_F61</vt:lpstr>
      <vt:lpstr>_13h_F62</vt:lpstr>
      <vt:lpstr>_13h_F64</vt:lpstr>
      <vt:lpstr>_13h_F65</vt:lpstr>
      <vt:lpstr>_13h_F7</vt:lpstr>
      <vt:lpstr>_13h_F8</vt:lpstr>
      <vt:lpstr>_13h_F9</vt:lpstr>
      <vt:lpstr>_14h_E10</vt:lpstr>
      <vt:lpstr>_14h_E11</vt:lpstr>
      <vt:lpstr>_14h_E12</vt:lpstr>
      <vt:lpstr>_14h_E13</vt:lpstr>
      <vt:lpstr>_14h_E14</vt:lpstr>
      <vt:lpstr>_14h_E15</vt:lpstr>
      <vt:lpstr>_14h_E16</vt:lpstr>
      <vt:lpstr>_14h_E17</vt:lpstr>
      <vt:lpstr>_14h_E18</vt:lpstr>
      <vt:lpstr>_14h_E19</vt:lpstr>
      <vt:lpstr>_14h_E20</vt:lpstr>
      <vt:lpstr>_14h_E21</vt:lpstr>
      <vt:lpstr>_14h_E22</vt:lpstr>
      <vt:lpstr>_14h_E23</vt:lpstr>
      <vt:lpstr>_14h_E24</vt:lpstr>
      <vt:lpstr>_14h_E25</vt:lpstr>
      <vt:lpstr>_14h_E26</vt:lpstr>
      <vt:lpstr>_14h_E27</vt:lpstr>
      <vt:lpstr>_14h_E28</vt:lpstr>
      <vt:lpstr>_14h_E29</vt:lpstr>
      <vt:lpstr>_14h_E30</vt:lpstr>
      <vt:lpstr>_14h_E31</vt:lpstr>
      <vt:lpstr>_14h_E32</vt:lpstr>
      <vt:lpstr>_14h_E33</vt:lpstr>
      <vt:lpstr>_14h_E34</vt:lpstr>
      <vt:lpstr>_14h_E35</vt:lpstr>
      <vt:lpstr>_14h_E36</vt:lpstr>
      <vt:lpstr>_14h_E37</vt:lpstr>
      <vt:lpstr>_14h_E38</vt:lpstr>
      <vt:lpstr>_14h_E39</vt:lpstr>
      <vt:lpstr>_14h_E40</vt:lpstr>
      <vt:lpstr>_14h_E41</vt:lpstr>
      <vt:lpstr>_14h_E42</vt:lpstr>
      <vt:lpstr>_14h_E43</vt:lpstr>
      <vt:lpstr>_14h_E44</vt:lpstr>
      <vt:lpstr>_14h_E45</vt:lpstr>
      <vt:lpstr>_14h_E46</vt:lpstr>
      <vt:lpstr>_14h_E47</vt:lpstr>
      <vt:lpstr>_14h_E48</vt:lpstr>
      <vt:lpstr>_14h_E49</vt:lpstr>
      <vt:lpstr>_14h_E50</vt:lpstr>
      <vt:lpstr>_14h_E51</vt:lpstr>
      <vt:lpstr>_14h_E53</vt:lpstr>
      <vt:lpstr>_14h_E54</vt:lpstr>
      <vt:lpstr>_14h_E55</vt:lpstr>
      <vt:lpstr>_14h_E56</vt:lpstr>
      <vt:lpstr>_14h_E57</vt:lpstr>
      <vt:lpstr>_14h_E58</vt:lpstr>
      <vt:lpstr>_14h_E59</vt:lpstr>
      <vt:lpstr>_14h_E60</vt:lpstr>
      <vt:lpstr>_14h_E61</vt:lpstr>
      <vt:lpstr>_14h_E62</vt:lpstr>
      <vt:lpstr>_14h_E64</vt:lpstr>
      <vt:lpstr>_14h_E65</vt:lpstr>
      <vt:lpstr>_14h_E7</vt:lpstr>
      <vt:lpstr>_14h_E8</vt:lpstr>
      <vt:lpstr>_14h_E9</vt:lpstr>
      <vt:lpstr>_14h_F10</vt:lpstr>
      <vt:lpstr>_14h_F11</vt:lpstr>
      <vt:lpstr>_14h_F12</vt:lpstr>
      <vt:lpstr>_14h_F13</vt:lpstr>
      <vt:lpstr>_14h_F14</vt:lpstr>
      <vt:lpstr>_14h_F15</vt:lpstr>
      <vt:lpstr>_14h_F16</vt:lpstr>
      <vt:lpstr>_14h_F17</vt:lpstr>
      <vt:lpstr>_14h_F18</vt:lpstr>
      <vt:lpstr>_14h_F19</vt:lpstr>
      <vt:lpstr>_14h_F20</vt:lpstr>
      <vt:lpstr>_14h_F21</vt:lpstr>
      <vt:lpstr>_14h_F22</vt:lpstr>
      <vt:lpstr>_14h_F23</vt:lpstr>
      <vt:lpstr>_14h_F24</vt:lpstr>
      <vt:lpstr>_14h_F25</vt:lpstr>
      <vt:lpstr>_14h_F26</vt:lpstr>
      <vt:lpstr>_14h_F27</vt:lpstr>
      <vt:lpstr>_14h_F28</vt:lpstr>
      <vt:lpstr>_14h_F29</vt:lpstr>
      <vt:lpstr>_14h_F30</vt:lpstr>
      <vt:lpstr>_14h_F31</vt:lpstr>
      <vt:lpstr>_14h_F32</vt:lpstr>
      <vt:lpstr>_14h_F33</vt:lpstr>
      <vt:lpstr>_14h_F34</vt:lpstr>
      <vt:lpstr>_14h_F35</vt:lpstr>
      <vt:lpstr>_14h_F36</vt:lpstr>
      <vt:lpstr>_14h_F37</vt:lpstr>
      <vt:lpstr>_14h_F38</vt:lpstr>
      <vt:lpstr>_14h_F39</vt:lpstr>
      <vt:lpstr>_14h_F40</vt:lpstr>
      <vt:lpstr>_14h_F41</vt:lpstr>
      <vt:lpstr>_14h_F42</vt:lpstr>
      <vt:lpstr>_14h_F43</vt:lpstr>
      <vt:lpstr>_14h_F44</vt:lpstr>
      <vt:lpstr>_14h_F45</vt:lpstr>
      <vt:lpstr>_14h_F46</vt:lpstr>
      <vt:lpstr>_14h_F47</vt:lpstr>
      <vt:lpstr>_14h_F48</vt:lpstr>
      <vt:lpstr>_14h_F49</vt:lpstr>
      <vt:lpstr>_14h_F50</vt:lpstr>
      <vt:lpstr>_14h_F51</vt:lpstr>
      <vt:lpstr>_14h_F53</vt:lpstr>
      <vt:lpstr>_14h_F54</vt:lpstr>
      <vt:lpstr>_14h_F55</vt:lpstr>
      <vt:lpstr>_14h_F56</vt:lpstr>
      <vt:lpstr>_14h_F57</vt:lpstr>
      <vt:lpstr>_14h_F58</vt:lpstr>
      <vt:lpstr>_14h_F59</vt:lpstr>
      <vt:lpstr>_14h_F60</vt:lpstr>
      <vt:lpstr>_14h_F61</vt:lpstr>
      <vt:lpstr>_14h_F62</vt:lpstr>
      <vt:lpstr>_14h_F64</vt:lpstr>
      <vt:lpstr>_14h_F65</vt:lpstr>
      <vt:lpstr>_14h_F7</vt:lpstr>
      <vt:lpstr>_14h_F8</vt:lpstr>
      <vt:lpstr>_14h_F9</vt:lpstr>
      <vt:lpstr>_15h_E10</vt:lpstr>
      <vt:lpstr>_15h_E11</vt:lpstr>
      <vt:lpstr>_15h_E12</vt:lpstr>
      <vt:lpstr>_15h_E13</vt:lpstr>
      <vt:lpstr>_15h_E14</vt:lpstr>
      <vt:lpstr>_15h_E15</vt:lpstr>
      <vt:lpstr>_15h_E16</vt:lpstr>
      <vt:lpstr>_15h_E17</vt:lpstr>
      <vt:lpstr>_15h_E18</vt:lpstr>
      <vt:lpstr>_15h_E19</vt:lpstr>
      <vt:lpstr>_15h_E20</vt:lpstr>
      <vt:lpstr>_15h_E21</vt:lpstr>
      <vt:lpstr>_15h_E22</vt:lpstr>
      <vt:lpstr>_15h_E23</vt:lpstr>
      <vt:lpstr>_15h_E24</vt:lpstr>
      <vt:lpstr>_15h_E25</vt:lpstr>
      <vt:lpstr>_15h_E26</vt:lpstr>
      <vt:lpstr>_15h_E27</vt:lpstr>
      <vt:lpstr>_15h_E28</vt:lpstr>
      <vt:lpstr>_15h_E29</vt:lpstr>
      <vt:lpstr>_15h_E30</vt:lpstr>
      <vt:lpstr>_15h_E31</vt:lpstr>
      <vt:lpstr>_15h_E32</vt:lpstr>
      <vt:lpstr>_15h_E33</vt:lpstr>
      <vt:lpstr>_15h_E34</vt:lpstr>
      <vt:lpstr>_15h_E35</vt:lpstr>
      <vt:lpstr>_15h_E36</vt:lpstr>
      <vt:lpstr>_15h_E37</vt:lpstr>
      <vt:lpstr>_15h_E38</vt:lpstr>
      <vt:lpstr>_15h_E39</vt:lpstr>
      <vt:lpstr>_15h_E40</vt:lpstr>
      <vt:lpstr>_15h_E41</vt:lpstr>
      <vt:lpstr>_15h_E42</vt:lpstr>
      <vt:lpstr>_15h_E43</vt:lpstr>
      <vt:lpstr>_15h_E44</vt:lpstr>
      <vt:lpstr>_15h_E45</vt:lpstr>
      <vt:lpstr>_15h_E46</vt:lpstr>
      <vt:lpstr>_15h_E47</vt:lpstr>
      <vt:lpstr>_15h_E48</vt:lpstr>
      <vt:lpstr>_15h_E49</vt:lpstr>
      <vt:lpstr>_15h_E50</vt:lpstr>
      <vt:lpstr>_15h_E51</vt:lpstr>
      <vt:lpstr>_15h_E53</vt:lpstr>
      <vt:lpstr>_15h_E54</vt:lpstr>
      <vt:lpstr>_15h_E55</vt:lpstr>
      <vt:lpstr>_15h_E56</vt:lpstr>
      <vt:lpstr>_15h_E57</vt:lpstr>
      <vt:lpstr>_15h_E58</vt:lpstr>
      <vt:lpstr>_15h_E59</vt:lpstr>
      <vt:lpstr>_15h_E60</vt:lpstr>
      <vt:lpstr>_15h_E61</vt:lpstr>
      <vt:lpstr>_15h_E62</vt:lpstr>
      <vt:lpstr>_15h_E64</vt:lpstr>
      <vt:lpstr>_15h_E65</vt:lpstr>
      <vt:lpstr>_15h_E7</vt:lpstr>
      <vt:lpstr>_15h_E8</vt:lpstr>
      <vt:lpstr>_15h_E9</vt:lpstr>
      <vt:lpstr>_15h_F10</vt:lpstr>
      <vt:lpstr>_15h_F11</vt:lpstr>
      <vt:lpstr>_15h_F12</vt:lpstr>
      <vt:lpstr>_15h_F13</vt:lpstr>
      <vt:lpstr>_15h_F14</vt:lpstr>
      <vt:lpstr>_15h_F15</vt:lpstr>
      <vt:lpstr>_15h_F16</vt:lpstr>
      <vt:lpstr>_15h_F17</vt:lpstr>
      <vt:lpstr>_15h_F18</vt:lpstr>
      <vt:lpstr>_15h_F19</vt:lpstr>
      <vt:lpstr>_15h_F20</vt:lpstr>
      <vt:lpstr>_15h_F21</vt:lpstr>
      <vt:lpstr>_15h_F22</vt:lpstr>
      <vt:lpstr>_15h_F23</vt:lpstr>
      <vt:lpstr>_15h_F24</vt:lpstr>
      <vt:lpstr>_15h_F25</vt:lpstr>
      <vt:lpstr>_15h_F26</vt:lpstr>
      <vt:lpstr>_15h_F27</vt:lpstr>
      <vt:lpstr>_15h_F28</vt:lpstr>
      <vt:lpstr>_15h_F29</vt:lpstr>
      <vt:lpstr>_15h_F30</vt:lpstr>
      <vt:lpstr>_15h_F31</vt:lpstr>
      <vt:lpstr>_15h_F32</vt:lpstr>
      <vt:lpstr>_15h_F33</vt:lpstr>
      <vt:lpstr>_15h_F34</vt:lpstr>
      <vt:lpstr>_15h_F35</vt:lpstr>
      <vt:lpstr>_15h_F36</vt:lpstr>
      <vt:lpstr>_15h_F37</vt:lpstr>
      <vt:lpstr>_15h_F38</vt:lpstr>
      <vt:lpstr>_15h_F39</vt:lpstr>
      <vt:lpstr>_15h_F40</vt:lpstr>
      <vt:lpstr>_15h_F41</vt:lpstr>
      <vt:lpstr>_15h_F42</vt:lpstr>
      <vt:lpstr>_15h_F43</vt:lpstr>
      <vt:lpstr>_15h_F44</vt:lpstr>
      <vt:lpstr>_15h_F45</vt:lpstr>
      <vt:lpstr>_15h_F46</vt:lpstr>
      <vt:lpstr>_15h_F47</vt:lpstr>
      <vt:lpstr>_15h_F48</vt:lpstr>
      <vt:lpstr>_15h_F49</vt:lpstr>
      <vt:lpstr>_15h_F50</vt:lpstr>
      <vt:lpstr>_15h_F51</vt:lpstr>
      <vt:lpstr>_15h_F53</vt:lpstr>
      <vt:lpstr>_15h_F54</vt:lpstr>
      <vt:lpstr>_15h_F55</vt:lpstr>
      <vt:lpstr>_15h_F56</vt:lpstr>
      <vt:lpstr>_15h_F57</vt:lpstr>
      <vt:lpstr>_15h_F58</vt:lpstr>
      <vt:lpstr>_15h_F59</vt:lpstr>
      <vt:lpstr>_15h_F60</vt:lpstr>
      <vt:lpstr>_15h_F61</vt:lpstr>
      <vt:lpstr>_15h_F62</vt:lpstr>
      <vt:lpstr>_15h_F64</vt:lpstr>
      <vt:lpstr>_15h_F65</vt:lpstr>
      <vt:lpstr>_15h_F7</vt:lpstr>
      <vt:lpstr>_15h_F8</vt:lpstr>
      <vt:lpstr>_15h_F9</vt:lpstr>
      <vt:lpstr>_16h_E10</vt:lpstr>
      <vt:lpstr>_16h_E11</vt:lpstr>
      <vt:lpstr>_16h_E12</vt:lpstr>
      <vt:lpstr>_16h_E13</vt:lpstr>
      <vt:lpstr>_16h_E14</vt:lpstr>
      <vt:lpstr>_16h_E15</vt:lpstr>
      <vt:lpstr>_16h_E16</vt:lpstr>
      <vt:lpstr>_16h_E17</vt:lpstr>
      <vt:lpstr>_16h_E18</vt:lpstr>
      <vt:lpstr>_16h_E19</vt:lpstr>
      <vt:lpstr>_16h_E20</vt:lpstr>
      <vt:lpstr>_16h_E21</vt:lpstr>
      <vt:lpstr>_16h_E22</vt:lpstr>
      <vt:lpstr>_16h_E23</vt:lpstr>
      <vt:lpstr>_16h_E24</vt:lpstr>
      <vt:lpstr>_16h_E25</vt:lpstr>
      <vt:lpstr>_16h_E26</vt:lpstr>
      <vt:lpstr>_16h_E27</vt:lpstr>
      <vt:lpstr>_16h_E28</vt:lpstr>
      <vt:lpstr>_16h_E29</vt:lpstr>
      <vt:lpstr>_16h_E30</vt:lpstr>
      <vt:lpstr>_16h_E31</vt:lpstr>
      <vt:lpstr>_16h_E32</vt:lpstr>
      <vt:lpstr>_16h_E33</vt:lpstr>
      <vt:lpstr>_16h_E34</vt:lpstr>
      <vt:lpstr>_16h_E35</vt:lpstr>
      <vt:lpstr>_16h_E36</vt:lpstr>
      <vt:lpstr>_16h_E37</vt:lpstr>
      <vt:lpstr>_16h_E38</vt:lpstr>
      <vt:lpstr>_16h_E39</vt:lpstr>
      <vt:lpstr>_16h_E40</vt:lpstr>
      <vt:lpstr>_16h_E41</vt:lpstr>
      <vt:lpstr>_16h_E42</vt:lpstr>
      <vt:lpstr>_16h_E43</vt:lpstr>
      <vt:lpstr>_16h_E44</vt:lpstr>
      <vt:lpstr>_16h_E45</vt:lpstr>
      <vt:lpstr>_16h_E46</vt:lpstr>
      <vt:lpstr>_16h_E47</vt:lpstr>
      <vt:lpstr>_16h_E48</vt:lpstr>
      <vt:lpstr>_16h_E49</vt:lpstr>
      <vt:lpstr>_16h_E50</vt:lpstr>
      <vt:lpstr>_16h_E51</vt:lpstr>
      <vt:lpstr>_16h_E53</vt:lpstr>
      <vt:lpstr>_16h_E54</vt:lpstr>
      <vt:lpstr>_16h_E55</vt:lpstr>
      <vt:lpstr>_16h_E56</vt:lpstr>
      <vt:lpstr>_16h_E57</vt:lpstr>
      <vt:lpstr>_16h_E58</vt:lpstr>
      <vt:lpstr>_16h_E59</vt:lpstr>
      <vt:lpstr>_16h_E60</vt:lpstr>
      <vt:lpstr>_16h_E61</vt:lpstr>
      <vt:lpstr>_16h_E62</vt:lpstr>
      <vt:lpstr>_16h_E64</vt:lpstr>
      <vt:lpstr>_16h_E65</vt:lpstr>
      <vt:lpstr>_16h_E7</vt:lpstr>
      <vt:lpstr>_16h_E8</vt:lpstr>
      <vt:lpstr>_16h_E9</vt:lpstr>
      <vt:lpstr>_16h_F10</vt:lpstr>
      <vt:lpstr>_16h_F11</vt:lpstr>
      <vt:lpstr>_16h_F12</vt:lpstr>
      <vt:lpstr>_16h_F13</vt:lpstr>
      <vt:lpstr>_16h_F14</vt:lpstr>
      <vt:lpstr>_16h_F15</vt:lpstr>
      <vt:lpstr>_16h_F16</vt:lpstr>
      <vt:lpstr>_16h_F17</vt:lpstr>
      <vt:lpstr>_16h_F18</vt:lpstr>
      <vt:lpstr>_16h_F19</vt:lpstr>
      <vt:lpstr>_16h_F20</vt:lpstr>
      <vt:lpstr>_16h_F21</vt:lpstr>
      <vt:lpstr>_16h_F22</vt:lpstr>
      <vt:lpstr>_16h_F23</vt:lpstr>
      <vt:lpstr>_16h_F24</vt:lpstr>
      <vt:lpstr>_16h_F25</vt:lpstr>
      <vt:lpstr>_16h_F26</vt:lpstr>
      <vt:lpstr>_16h_F27</vt:lpstr>
      <vt:lpstr>_16h_F28</vt:lpstr>
      <vt:lpstr>_16h_F29</vt:lpstr>
      <vt:lpstr>_16h_F30</vt:lpstr>
      <vt:lpstr>_16h_F31</vt:lpstr>
      <vt:lpstr>_16h_F32</vt:lpstr>
      <vt:lpstr>_16h_F33</vt:lpstr>
      <vt:lpstr>_16h_F34</vt:lpstr>
      <vt:lpstr>_16h_F35</vt:lpstr>
      <vt:lpstr>_16h_F36</vt:lpstr>
      <vt:lpstr>_16h_F37</vt:lpstr>
      <vt:lpstr>_16h_F38</vt:lpstr>
      <vt:lpstr>_16h_F39</vt:lpstr>
      <vt:lpstr>_16h_F40</vt:lpstr>
      <vt:lpstr>_16h_F41</vt:lpstr>
      <vt:lpstr>_16h_F42</vt:lpstr>
      <vt:lpstr>_16h_F43</vt:lpstr>
      <vt:lpstr>_16h_F44</vt:lpstr>
      <vt:lpstr>_16h_F45</vt:lpstr>
      <vt:lpstr>_16h_F46</vt:lpstr>
      <vt:lpstr>_16h_F47</vt:lpstr>
      <vt:lpstr>_16h_F48</vt:lpstr>
      <vt:lpstr>_16h_F49</vt:lpstr>
      <vt:lpstr>_16h_F50</vt:lpstr>
      <vt:lpstr>_16h_F51</vt:lpstr>
      <vt:lpstr>_16h_F53</vt:lpstr>
      <vt:lpstr>_16h_F54</vt:lpstr>
      <vt:lpstr>_16h_F55</vt:lpstr>
      <vt:lpstr>_16h_F56</vt:lpstr>
      <vt:lpstr>_16h_F57</vt:lpstr>
      <vt:lpstr>_16h_F58</vt:lpstr>
      <vt:lpstr>_16h_F59</vt:lpstr>
      <vt:lpstr>_16h_F60</vt:lpstr>
      <vt:lpstr>_16h_F61</vt:lpstr>
      <vt:lpstr>_16h_F62</vt:lpstr>
      <vt:lpstr>_16h_F64</vt:lpstr>
      <vt:lpstr>_16h_F65</vt:lpstr>
      <vt:lpstr>_16h_F7</vt:lpstr>
      <vt:lpstr>_16h_F8</vt:lpstr>
      <vt:lpstr>_16h_F9</vt:lpstr>
      <vt:lpstr>_17h_E10</vt:lpstr>
      <vt:lpstr>_17h_E11</vt:lpstr>
      <vt:lpstr>_17h_E12</vt:lpstr>
      <vt:lpstr>_17h_E13</vt:lpstr>
      <vt:lpstr>_17h_E14</vt:lpstr>
      <vt:lpstr>_17h_E15</vt:lpstr>
      <vt:lpstr>_17h_E16</vt:lpstr>
      <vt:lpstr>_17h_E17</vt:lpstr>
      <vt:lpstr>_17h_E18</vt:lpstr>
      <vt:lpstr>_17h_E19</vt:lpstr>
      <vt:lpstr>_17h_E20</vt:lpstr>
      <vt:lpstr>_17h_E21</vt:lpstr>
      <vt:lpstr>_17h_E22</vt:lpstr>
      <vt:lpstr>_17h_E23</vt:lpstr>
      <vt:lpstr>_17h_E24</vt:lpstr>
      <vt:lpstr>_17h_E25</vt:lpstr>
      <vt:lpstr>_17h_E26</vt:lpstr>
      <vt:lpstr>_17h_E27</vt:lpstr>
      <vt:lpstr>_17h_E28</vt:lpstr>
      <vt:lpstr>_17h_E29</vt:lpstr>
      <vt:lpstr>_17h_E30</vt:lpstr>
      <vt:lpstr>_17h_E31</vt:lpstr>
      <vt:lpstr>_17h_E32</vt:lpstr>
      <vt:lpstr>_17h_E33</vt:lpstr>
      <vt:lpstr>_17h_E34</vt:lpstr>
      <vt:lpstr>_17h_E35</vt:lpstr>
      <vt:lpstr>_17h_E36</vt:lpstr>
      <vt:lpstr>_17h_E37</vt:lpstr>
      <vt:lpstr>_17h_E38</vt:lpstr>
      <vt:lpstr>_17h_E39</vt:lpstr>
      <vt:lpstr>_17h_E40</vt:lpstr>
      <vt:lpstr>_17h_E41</vt:lpstr>
      <vt:lpstr>_17h_E42</vt:lpstr>
      <vt:lpstr>_17h_E43</vt:lpstr>
      <vt:lpstr>_17h_E44</vt:lpstr>
      <vt:lpstr>_17h_E45</vt:lpstr>
      <vt:lpstr>_17h_E46</vt:lpstr>
      <vt:lpstr>_17h_E47</vt:lpstr>
      <vt:lpstr>_17h_E48</vt:lpstr>
      <vt:lpstr>_17h_E49</vt:lpstr>
      <vt:lpstr>_17h_E50</vt:lpstr>
      <vt:lpstr>_17h_E51</vt:lpstr>
      <vt:lpstr>_17h_E53</vt:lpstr>
      <vt:lpstr>_17h_E54</vt:lpstr>
      <vt:lpstr>_17h_E55</vt:lpstr>
      <vt:lpstr>_17h_E56</vt:lpstr>
      <vt:lpstr>_17h_E57</vt:lpstr>
      <vt:lpstr>_17h_E58</vt:lpstr>
      <vt:lpstr>_17h_E59</vt:lpstr>
      <vt:lpstr>_17h_E60</vt:lpstr>
      <vt:lpstr>_17h_E61</vt:lpstr>
      <vt:lpstr>_17h_E62</vt:lpstr>
      <vt:lpstr>_17h_E64</vt:lpstr>
      <vt:lpstr>_17h_E65</vt:lpstr>
      <vt:lpstr>_17h_E7</vt:lpstr>
      <vt:lpstr>_17h_E8</vt:lpstr>
      <vt:lpstr>_17h_E9</vt:lpstr>
      <vt:lpstr>_17h_F10</vt:lpstr>
      <vt:lpstr>_17h_F11</vt:lpstr>
      <vt:lpstr>_17h_F12</vt:lpstr>
      <vt:lpstr>_17h_F13</vt:lpstr>
      <vt:lpstr>_17h_F14</vt:lpstr>
      <vt:lpstr>_17h_F15</vt:lpstr>
      <vt:lpstr>_17h_F16</vt:lpstr>
      <vt:lpstr>_17h_F17</vt:lpstr>
      <vt:lpstr>_17h_F18</vt:lpstr>
      <vt:lpstr>_17h_F19</vt:lpstr>
      <vt:lpstr>_17h_F20</vt:lpstr>
      <vt:lpstr>_17h_F21</vt:lpstr>
      <vt:lpstr>_17h_F22</vt:lpstr>
      <vt:lpstr>_17h_F23</vt:lpstr>
      <vt:lpstr>_17h_F24</vt:lpstr>
      <vt:lpstr>_17h_F25</vt:lpstr>
      <vt:lpstr>_17h_F26</vt:lpstr>
      <vt:lpstr>_17h_F27</vt:lpstr>
      <vt:lpstr>_17h_F28</vt:lpstr>
      <vt:lpstr>_17h_F29</vt:lpstr>
      <vt:lpstr>_17h_F30</vt:lpstr>
      <vt:lpstr>_17h_F31</vt:lpstr>
      <vt:lpstr>_17h_F32</vt:lpstr>
      <vt:lpstr>_17h_F33</vt:lpstr>
      <vt:lpstr>_17h_F34</vt:lpstr>
      <vt:lpstr>_17h_F35</vt:lpstr>
      <vt:lpstr>_17h_F36</vt:lpstr>
      <vt:lpstr>_17h_F37</vt:lpstr>
      <vt:lpstr>_17h_F38</vt:lpstr>
      <vt:lpstr>_17h_F39</vt:lpstr>
      <vt:lpstr>_17h_F40</vt:lpstr>
      <vt:lpstr>_17h_F41</vt:lpstr>
      <vt:lpstr>_17h_F42</vt:lpstr>
      <vt:lpstr>_17h_F43</vt:lpstr>
      <vt:lpstr>_17h_F44</vt:lpstr>
      <vt:lpstr>_17h_F45</vt:lpstr>
      <vt:lpstr>_17h_F46</vt:lpstr>
      <vt:lpstr>_17h_F47</vt:lpstr>
      <vt:lpstr>_17h_F48</vt:lpstr>
      <vt:lpstr>_17h_F49</vt:lpstr>
      <vt:lpstr>_17h_F50</vt:lpstr>
      <vt:lpstr>_17h_F51</vt:lpstr>
      <vt:lpstr>_17h_F53</vt:lpstr>
      <vt:lpstr>_17h_F54</vt:lpstr>
      <vt:lpstr>_17h_F55</vt:lpstr>
      <vt:lpstr>_17h_F56</vt:lpstr>
      <vt:lpstr>_17h_F57</vt:lpstr>
      <vt:lpstr>_17h_F58</vt:lpstr>
      <vt:lpstr>_17h_F59</vt:lpstr>
      <vt:lpstr>_17h_F60</vt:lpstr>
      <vt:lpstr>_17h_F61</vt:lpstr>
      <vt:lpstr>_17h_F62</vt:lpstr>
      <vt:lpstr>_17h_F64</vt:lpstr>
      <vt:lpstr>_17h_F65</vt:lpstr>
      <vt:lpstr>_17h_F7</vt:lpstr>
      <vt:lpstr>_17h_F8</vt:lpstr>
      <vt:lpstr>_17h_F9</vt:lpstr>
      <vt:lpstr>_18h_E10</vt:lpstr>
      <vt:lpstr>_18h_E11</vt:lpstr>
      <vt:lpstr>_18h_E12</vt:lpstr>
      <vt:lpstr>_18h_E13</vt:lpstr>
      <vt:lpstr>_18h_E14</vt:lpstr>
      <vt:lpstr>_18h_E15</vt:lpstr>
      <vt:lpstr>_18h_E16</vt:lpstr>
      <vt:lpstr>_18h_E17</vt:lpstr>
      <vt:lpstr>_18h_E18</vt:lpstr>
      <vt:lpstr>_18h_E19</vt:lpstr>
      <vt:lpstr>_18h_E20</vt:lpstr>
      <vt:lpstr>_18h_E21</vt:lpstr>
      <vt:lpstr>_18h_E22</vt:lpstr>
      <vt:lpstr>_18h_E23</vt:lpstr>
      <vt:lpstr>_18h_E24</vt:lpstr>
      <vt:lpstr>_18h_E25</vt:lpstr>
      <vt:lpstr>_18h_E26</vt:lpstr>
      <vt:lpstr>_18h_E27</vt:lpstr>
      <vt:lpstr>_18h_E28</vt:lpstr>
      <vt:lpstr>_18h_E29</vt:lpstr>
      <vt:lpstr>_18h_E30</vt:lpstr>
      <vt:lpstr>_18h_E31</vt:lpstr>
      <vt:lpstr>_18h_E32</vt:lpstr>
      <vt:lpstr>_18h_E33</vt:lpstr>
      <vt:lpstr>_18h_E34</vt:lpstr>
      <vt:lpstr>_18h_E35</vt:lpstr>
      <vt:lpstr>_18h_E36</vt:lpstr>
      <vt:lpstr>_18h_E37</vt:lpstr>
      <vt:lpstr>_18h_E38</vt:lpstr>
      <vt:lpstr>_18h_E39</vt:lpstr>
      <vt:lpstr>_18h_E40</vt:lpstr>
      <vt:lpstr>_18h_E41</vt:lpstr>
      <vt:lpstr>_18h_E42</vt:lpstr>
      <vt:lpstr>_18h_E43</vt:lpstr>
      <vt:lpstr>_18h_E44</vt:lpstr>
      <vt:lpstr>_18h_E45</vt:lpstr>
      <vt:lpstr>_18h_E46</vt:lpstr>
      <vt:lpstr>_18h_E47</vt:lpstr>
      <vt:lpstr>_18h_E48</vt:lpstr>
      <vt:lpstr>_18h_E49</vt:lpstr>
      <vt:lpstr>_18h_E50</vt:lpstr>
      <vt:lpstr>_18h_E51</vt:lpstr>
      <vt:lpstr>_18h_E53</vt:lpstr>
      <vt:lpstr>_18h_E54</vt:lpstr>
      <vt:lpstr>_18h_E55</vt:lpstr>
      <vt:lpstr>_18h_E56</vt:lpstr>
      <vt:lpstr>_18h_E57</vt:lpstr>
      <vt:lpstr>_18h_E58</vt:lpstr>
      <vt:lpstr>_18h_E59</vt:lpstr>
      <vt:lpstr>_18h_E60</vt:lpstr>
      <vt:lpstr>_18h_E61</vt:lpstr>
      <vt:lpstr>_18h_E62</vt:lpstr>
      <vt:lpstr>_18h_E64</vt:lpstr>
      <vt:lpstr>_18h_E65</vt:lpstr>
      <vt:lpstr>_18h_E7</vt:lpstr>
      <vt:lpstr>_18h_E8</vt:lpstr>
      <vt:lpstr>_18h_E9</vt:lpstr>
      <vt:lpstr>_18h_F10</vt:lpstr>
      <vt:lpstr>_18h_F11</vt:lpstr>
      <vt:lpstr>_18h_F12</vt:lpstr>
      <vt:lpstr>_18h_F13</vt:lpstr>
      <vt:lpstr>_18h_F14</vt:lpstr>
      <vt:lpstr>_18h_F15</vt:lpstr>
      <vt:lpstr>_18h_F16</vt:lpstr>
      <vt:lpstr>_18h_F17</vt:lpstr>
      <vt:lpstr>_18h_F18</vt:lpstr>
      <vt:lpstr>_18h_F19</vt:lpstr>
      <vt:lpstr>_18h_F20</vt:lpstr>
      <vt:lpstr>_18h_F21</vt:lpstr>
      <vt:lpstr>_18h_F22</vt:lpstr>
      <vt:lpstr>_18h_F23</vt:lpstr>
      <vt:lpstr>_18h_F24</vt:lpstr>
      <vt:lpstr>_18h_F25</vt:lpstr>
      <vt:lpstr>_18h_F26</vt:lpstr>
      <vt:lpstr>_18h_F27</vt:lpstr>
      <vt:lpstr>_18h_F28</vt:lpstr>
      <vt:lpstr>_18h_F29</vt:lpstr>
      <vt:lpstr>_18h_F30</vt:lpstr>
      <vt:lpstr>_18h_F31</vt:lpstr>
      <vt:lpstr>_18h_F32</vt:lpstr>
      <vt:lpstr>_18h_F33</vt:lpstr>
      <vt:lpstr>_18h_F34</vt:lpstr>
      <vt:lpstr>_18h_F35</vt:lpstr>
      <vt:lpstr>_18h_F36</vt:lpstr>
      <vt:lpstr>_18h_F37</vt:lpstr>
      <vt:lpstr>_18h_F38</vt:lpstr>
      <vt:lpstr>_18h_F39</vt:lpstr>
      <vt:lpstr>_18h_F40</vt:lpstr>
      <vt:lpstr>_18h_F41</vt:lpstr>
      <vt:lpstr>_18h_F42</vt:lpstr>
      <vt:lpstr>_18h_F43</vt:lpstr>
      <vt:lpstr>_18h_F44</vt:lpstr>
      <vt:lpstr>_18h_F45</vt:lpstr>
      <vt:lpstr>_18h_F46</vt:lpstr>
      <vt:lpstr>_18h_F47</vt:lpstr>
      <vt:lpstr>_18h_F48</vt:lpstr>
      <vt:lpstr>_18h_F49</vt:lpstr>
      <vt:lpstr>_18h_F50</vt:lpstr>
      <vt:lpstr>_18h_F51</vt:lpstr>
      <vt:lpstr>_18h_F53</vt:lpstr>
      <vt:lpstr>_18h_F54</vt:lpstr>
      <vt:lpstr>_18h_F55</vt:lpstr>
      <vt:lpstr>_18h_F56</vt:lpstr>
      <vt:lpstr>_18h_F57</vt:lpstr>
      <vt:lpstr>_18h_F58</vt:lpstr>
      <vt:lpstr>_18h_F59</vt:lpstr>
      <vt:lpstr>_18h_F60</vt:lpstr>
      <vt:lpstr>_18h_F61</vt:lpstr>
      <vt:lpstr>_18h_F62</vt:lpstr>
      <vt:lpstr>_18h_F64</vt:lpstr>
      <vt:lpstr>_18h_F65</vt:lpstr>
      <vt:lpstr>_18h_F7</vt:lpstr>
      <vt:lpstr>_18h_F8</vt:lpstr>
      <vt:lpstr>_18h_F9</vt:lpstr>
      <vt:lpstr>_19h_E10</vt:lpstr>
      <vt:lpstr>_19h_E11</vt:lpstr>
      <vt:lpstr>_19h_E12</vt:lpstr>
      <vt:lpstr>_19h_E13</vt:lpstr>
      <vt:lpstr>_19h_E14</vt:lpstr>
      <vt:lpstr>_19h_E15</vt:lpstr>
      <vt:lpstr>_19h_E16</vt:lpstr>
      <vt:lpstr>_19h_E17</vt:lpstr>
      <vt:lpstr>_19h_E18</vt:lpstr>
      <vt:lpstr>_19h_E19</vt:lpstr>
      <vt:lpstr>_19h_E20</vt:lpstr>
      <vt:lpstr>_19h_E21</vt:lpstr>
      <vt:lpstr>_19h_E22</vt:lpstr>
      <vt:lpstr>_19h_E23</vt:lpstr>
      <vt:lpstr>_19h_E24</vt:lpstr>
      <vt:lpstr>_19h_E25</vt:lpstr>
      <vt:lpstr>_19h_E26</vt:lpstr>
      <vt:lpstr>_19h_E27</vt:lpstr>
      <vt:lpstr>_19h_E28</vt:lpstr>
      <vt:lpstr>_19h_E29</vt:lpstr>
      <vt:lpstr>_19h_E30</vt:lpstr>
      <vt:lpstr>_19h_E31</vt:lpstr>
      <vt:lpstr>_19h_E32</vt:lpstr>
      <vt:lpstr>_19h_E33</vt:lpstr>
      <vt:lpstr>_19h_E34</vt:lpstr>
      <vt:lpstr>_19h_E35</vt:lpstr>
      <vt:lpstr>_19h_E36</vt:lpstr>
      <vt:lpstr>_19h_E37</vt:lpstr>
      <vt:lpstr>_19h_E38</vt:lpstr>
      <vt:lpstr>_19h_E39</vt:lpstr>
      <vt:lpstr>_19h_E40</vt:lpstr>
      <vt:lpstr>_19h_E41</vt:lpstr>
      <vt:lpstr>_19h_E42</vt:lpstr>
      <vt:lpstr>_19h_E43</vt:lpstr>
      <vt:lpstr>_19h_E44</vt:lpstr>
      <vt:lpstr>_19h_E45</vt:lpstr>
      <vt:lpstr>_19h_E46</vt:lpstr>
      <vt:lpstr>_19h_E47</vt:lpstr>
      <vt:lpstr>_19h_E48</vt:lpstr>
      <vt:lpstr>_19h_E49</vt:lpstr>
      <vt:lpstr>_19h_E50</vt:lpstr>
      <vt:lpstr>_19h_E51</vt:lpstr>
      <vt:lpstr>_19h_E53</vt:lpstr>
      <vt:lpstr>_19h_E54</vt:lpstr>
      <vt:lpstr>_19h_E55</vt:lpstr>
      <vt:lpstr>_19h_E56</vt:lpstr>
      <vt:lpstr>_19h_E57</vt:lpstr>
      <vt:lpstr>_19h_E58</vt:lpstr>
      <vt:lpstr>_19h_E59</vt:lpstr>
      <vt:lpstr>_19h_E60</vt:lpstr>
      <vt:lpstr>_19h_E61</vt:lpstr>
      <vt:lpstr>_19h_E62</vt:lpstr>
      <vt:lpstr>_19h_E64</vt:lpstr>
      <vt:lpstr>_19h_E65</vt:lpstr>
      <vt:lpstr>_19h_E7</vt:lpstr>
      <vt:lpstr>_19h_E8</vt:lpstr>
      <vt:lpstr>_19h_E9</vt:lpstr>
      <vt:lpstr>_19h_F10</vt:lpstr>
      <vt:lpstr>_19h_F11</vt:lpstr>
      <vt:lpstr>_19h_F12</vt:lpstr>
      <vt:lpstr>_19h_F13</vt:lpstr>
      <vt:lpstr>_19h_F14</vt:lpstr>
      <vt:lpstr>_19h_F15</vt:lpstr>
      <vt:lpstr>_19h_F16</vt:lpstr>
      <vt:lpstr>_19h_F17</vt:lpstr>
      <vt:lpstr>_19h_F18</vt:lpstr>
      <vt:lpstr>_19h_F19</vt:lpstr>
      <vt:lpstr>_19h_F20</vt:lpstr>
      <vt:lpstr>_19h_F21</vt:lpstr>
      <vt:lpstr>_19h_F22</vt:lpstr>
      <vt:lpstr>_19h_F23</vt:lpstr>
      <vt:lpstr>_19h_F24</vt:lpstr>
      <vt:lpstr>_19h_F25</vt:lpstr>
      <vt:lpstr>_19h_F26</vt:lpstr>
      <vt:lpstr>_19h_F27</vt:lpstr>
      <vt:lpstr>_19h_F28</vt:lpstr>
      <vt:lpstr>_19h_F29</vt:lpstr>
      <vt:lpstr>_19h_F30</vt:lpstr>
      <vt:lpstr>_19h_F31</vt:lpstr>
      <vt:lpstr>_19h_F32</vt:lpstr>
      <vt:lpstr>_19h_F33</vt:lpstr>
      <vt:lpstr>_19h_F34</vt:lpstr>
      <vt:lpstr>_19h_F35</vt:lpstr>
      <vt:lpstr>_19h_F36</vt:lpstr>
      <vt:lpstr>_19h_F37</vt:lpstr>
      <vt:lpstr>_19h_F38</vt:lpstr>
      <vt:lpstr>_19h_F39</vt:lpstr>
      <vt:lpstr>_19h_F40</vt:lpstr>
      <vt:lpstr>_19h_F41</vt:lpstr>
      <vt:lpstr>_19h_F42</vt:lpstr>
      <vt:lpstr>_19h_F43</vt:lpstr>
      <vt:lpstr>_19h_F44</vt:lpstr>
      <vt:lpstr>_19h_F45</vt:lpstr>
      <vt:lpstr>_19h_F46</vt:lpstr>
      <vt:lpstr>_19h_F47</vt:lpstr>
      <vt:lpstr>_19h_F48</vt:lpstr>
      <vt:lpstr>_19h_F49</vt:lpstr>
      <vt:lpstr>_19h_F50</vt:lpstr>
      <vt:lpstr>_19h_F51</vt:lpstr>
      <vt:lpstr>_19h_F53</vt:lpstr>
      <vt:lpstr>_19h_F54</vt:lpstr>
      <vt:lpstr>_19h_F55</vt:lpstr>
      <vt:lpstr>_19h_F56</vt:lpstr>
      <vt:lpstr>_19h_F57</vt:lpstr>
      <vt:lpstr>_19h_F58</vt:lpstr>
      <vt:lpstr>_19h_F59</vt:lpstr>
      <vt:lpstr>_19h_F60</vt:lpstr>
      <vt:lpstr>_19h_F61</vt:lpstr>
      <vt:lpstr>_19h_F62</vt:lpstr>
      <vt:lpstr>_19h_F64</vt:lpstr>
      <vt:lpstr>_19h_F65</vt:lpstr>
      <vt:lpstr>_19h_F7</vt:lpstr>
      <vt:lpstr>_19h_F8</vt:lpstr>
      <vt:lpstr>_19h_F9</vt:lpstr>
      <vt:lpstr>_1h_E10</vt:lpstr>
      <vt:lpstr>_1h_E11</vt:lpstr>
      <vt:lpstr>_1h_E12</vt:lpstr>
      <vt:lpstr>_1h_E13</vt:lpstr>
      <vt:lpstr>_1h_E14</vt:lpstr>
      <vt:lpstr>_1h_E15</vt:lpstr>
      <vt:lpstr>_1h_E16</vt:lpstr>
      <vt:lpstr>_1h_E17</vt:lpstr>
      <vt:lpstr>_1h_E18</vt:lpstr>
      <vt:lpstr>_1h_E19</vt:lpstr>
      <vt:lpstr>_1h_E20</vt:lpstr>
      <vt:lpstr>_1h_E21</vt:lpstr>
      <vt:lpstr>_1h_E22</vt:lpstr>
      <vt:lpstr>_1h_E23</vt:lpstr>
      <vt:lpstr>_1h_E24</vt:lpstr>
      <vt:lpstr>_1h_E25</vt:lpstr>
      <vt:lpstr>_1h_E26</vt:lpstr>
      <vt:lpstr>_1h_E27</vt:lpstr>
      <vt:lpstr>_1h_E28</vt:lpstr>
      <vt:lpstr>_1h_E29</vt:lpstr>
      <vt:lpstr>_1h_E30</vt:lpstr>
      <vt:lpstr>_1h_E31</vt:lpstr>
      <vt:lpstr>_1h_E32</vt:lpstr>
      <vt:lpstr>_1h_E33</vt:lpstr>
      <vt:lpstr>_1h_E34</vt:lpstr>
      <vt:lpstr>_1h_E35</vt:lpstr>
      <vt:lpstr>_1h_E36</vt:lpstr>
      <vt:lpstr>_1h_E37</vt:lpstr>
      <vt:lpstr>_1h_E38</vt:lpstr>
      <vt:lpstr>_1h_E39</vt:lpstr>
      <vt:lpstr>_1h_E40</vt:lpstr>
      <vt:lpstr>_1h_E41</vt:lpstr>
      <vt:lpstr>_1h_E42</vt:lpstr>
      <vt:lpstr>_1h_E43</vt:lpstr>
      <vt:lpstr>_1h_E44</vt:lpstr>
      <vt:lpstr>_1h_E45</vt:lpstr>
      <vt:lpstr>_1h_E46</vt:lpstr>
      <vt:lpstr>_1h_E47</vt:lpstr>
      <vt:lpstr>_1h_E48</vt:lpstr>
      <vt:lpstr>_1h_E49</vt:lpstr>
      <vt:lpstr>_1h_E50</vt:lpstr>
      <vt:lpstr>_1h_E51</vt:lpstr>
      <vt:lpstr>_1h_E53</vt:lpstr>
      <vt:lpstr>_1h_E54</vt:lpstr>
      <vt:lpstr>_1h_E55</vt:lpstr>
      <vt:lpstr>_1h_E56</vt:lpstr>
      <vt:lpstr>_1h_E57</vt:lpstr>
      <vt:lpstr>_1h_E58</vt:lpstr>
      <vt:lpstr>_1h_E59</vt:lpstr>
      <vt:lpstr>_1h_E60</vt:lpstr>
      <vt:lpstr>_1h_E61</vt:lpstr>
      <vt:lpstr>_1h_E62</vt:lpstr>
      <vt:lpstr>_1h_E64</vt:lpstr>
      <vt:lpstr>_1h_E65</vt:lpstr>
      <vt:lpstr>_1h_E7</vt:lpstr>
      <vt:lpstr>_1h_E8</vt:lpstr>
      <vt:lpstr>_1h_E9</vt:lpstr>
      <vt:lpstr>_1h_F10</vt:lpstr>
      <vt:lpstr>_1h_F11</vt:lpstr>
      <vt:lpstr>_1h_F12</vt:lpstr>
      <vt:lpstr>_1h_F13</vt:lpstr>
      <vt:lpstr>_1h_F14</vt:lpstr>
      <vt:lpstr>_1h_F15</vt:lpstr>
      <vt:lpstr>_1h_F16</vt:lpstr>
      <vt:lpstr>_1h_F17</vt:lpstr>
      <vt:lpstr>_1h_F18</vt:lpstr>
      <vt:lpstr>_1h_F19</vt:lpstr>
      <vt:lpstr>_1h_F20</vt:lpstr>
      <vt:lpstr>_1h_F21</vt:lpstr>
      <vt:lpstr>_1h_F22</vt:lpstr>
      <vt:lpstr>_1h_F23</vt:lpstr>
      <vt:lpstr>_1h_F24</vt:lpstr>
      <vt:lpstr>_1h_F25</vt:lpstr>
      <vt:lpstr>_1h_F26</vt:lpstr>
      <vt:lpstr>_1h_F27</vt:lpstr>
      <vt:lpstr>_1h_F28</vt:lpstr>
      <vt:lpstr>_1h_F29</vt:lpstr>
      <vt:lpstr>_1h_F30</vt:lpstr>
      <vt:lpstr>_1h_F31</vt:lpstr>
      <vt:lpstr>_1h_F32</vt:lpstr>
      <vt:lpstr>_1h_F33</vt:lpstr>
      <vt:lpstr>_1h_F34</vt:lpstr>
      <vt:lpstr>_1h_F35</vt:lpstr>
      <vt:lpstr>_1h_F36</vt:lpstr>
      <vt:lpstr>_1h_F37</vt:lpstr>
      <vt:lpstr>_1h_F38</vt:lpstr>
      <vt:lpstr>_1h_F39</vt:lpstr>
      <vt:lpstr>_1h_F40</vt:lpstr>
      <vt:lpstr>_1h_F41</vt:lpstr>
      <vt:lpstr>_1h_F42</vt:lpstr>
      <vt:lpstr>_1h_F43</vt:lpstr>
      <vt:lpstr>_1h_F44</vt:lpstr>
      <vt:lpstr>_1h_F45</vt:lpstr>
      <vt:lpstr>_1h_F46</vt:lpstr>
      <vt:lpstr>_1h_F47</vt:lpstr>
      <vt:lpstr>_1h_F48</vt:lpstr>
      <vt:lpstr>_1h_F49</vt:lpstr>
      <vt:lpstr>_1h_F50</vt:lpstr>
      <vt:lpstr>_1h_F51</vt:lpstr>
      <vt:lpstr>_1h_F53</vt:lpstr>
      <vt:lpstr>_1h_F54</vt:lpstr>
      <vt:lpstr>_1h_F55</vt:lpstr>
      <vt:lpstr>_1h_F56</vt:lpstr>
      <vt:lpstr>_1h_F57</vt:lpstr>
      <vt:lpstr>_1h_F58</vt:lpstr>
      <vt:lpstr>_1h_F59</vt:lpstr>
      <vt:lpstr>_1h_F60</vt:lpstr>
      <vt:lpstr>_1h_F61</vt:lpstr>
      <vt:lpstr>_1h_F62</vt:lpstr>
      <vt:lpstr>_1h_F64</vt:lpstr>
      <vt:lpstr>_1h_F65</vt:lpstr>
      <vt:lpstr>_1h_F7</vt:lpstr>
      <vt:lpstr>_1h_F8</vt:lpstr>
      <vt:lpstr>_1h_F9</vt:lpstr>
      <vt:lpstr>_20h_E10</vt:lpstr>
      <vt:lpstr>_20h_E11</vt:lpstr>
      <vt:lpstr>_20h_E12</vt:lpstr>
      <vt:lpstr>_20h_E13</vt:lpstr>
      <vt:lpstr>_20h_E14</vt:lpstr>
      <vt:lpstr>_20h_E15</vt:lpstr>
      <vt:lpstr>_20h_E16</vt:lpstr>
      <vt:lpstr>_20h_E17</vt:lpstr>
      <vt:lpstr>_20h_E18</vt:lpstr>
      <vt:lpstr>_20h_E19</vt:lpstr>
      <vt:lpstr>_20h_E20</vt:lpstr>
      <vt:lpstr>_20h_E21</vt:lpstr>
      <vt:lpstr>_20h_E22</vt:lpstr>
      <vt:lpstr>_20h_E23</vt:lpstr>
      <vt:lpstr>_20h_E24</vt:lpstr>
      <vt:lpstr>_20h_E25</vt:lpstr>
      <vt:lpstr>_20h_E26</vt:lpstr>
      <vt:lpstr>_20h_E27</vt:lpstr>
      <vt:lpstr>_20h_E28</vt:lpstr>
      <vt:lpstr>_20h_E29</vt:lpstr>
      <vt:lpstr>_20h_E30</vt:lpstr>
      <vt:lpstr>_20h_E31</vt:lpstr>
      <vt:lpstr>_20h_E32</vt:lpstr>
      <vt:lpstr>_20h_E33</vt:lpstr>
      <vt:lpstr>_20h_E34</vt:lpstr>
      <vt:lpstr>_20h_E35</vt:lpstr>
      <vt:lpstr>_20h_E36</vt:lpstr>
      <vt:lpstr>_20h_E37</vt:lpstr>
      <vt:lpstr>_20h_E38</vt:lpstr>
      <vt:lpstr>_20h_E39</vt:lpstr>
      <vt:lpstr>_20h_E40</vt:lpstr>
      <vt:lpstr>_20h_E41</vt:lpstr>
      <vt:lpstr>_20h_E42</vt:lpstr>
      <vt:lpstr>_20h_E43</vt:lpstr>
      <vt:lpstr>_20h_E44</vt:lpstr>
      <vt:lpstr>_20h_E45</vt:lpstr>
      <vt:lpstr>_20h_E46</vt:lpstr>
      <vt:lpstr>_20h_E47</vt:lpstr>
      <vt:lpstr>_20h_E48</vt:lpstr>
      <vt:lpstr>_20h_E49</vt:lpstr>
      <vt:lpstr>_20h_E50</vt:lpstr>
      <vt:lpstr>_20h_E51</vt:lpstr>
      <vt:lpstr>_20h_E53</vt:lpstr>
      <vt:lpstr>_20h_E54</vt:lpstr>
      <vt:lpstr>_20h_E55</vt:lpstr>
      <vt:lpstr>_20h_E56</vt:lpstr>
      <vt:lpstr>_20h_E57</vt:lpstr>
      <vt:lpstr>_20h_E58</vt:lpstr>
      <vt:lpstr>_20h_E59</vt:lpstr>
      <vt:lpstr>_20h_E60</vt:lpstr>
      <vt:lpstr>_20h_E61</vt:lpstr>
      <vt:lpstr>_20h_E62</vt:lpstr>
      <vt:lpstr>_20h_E64</vt:lpstr>
      <vt:lpstr>_20h_E65</vt:lpstr>
      <vt:lpstr>_20h_E7</vt:lpstr>
      <vt:lpstr>_20h_E8</vt:lpstr>
      <vt:lpstr>_20h_E9</vt:lpstr>
      <vt:lpstr>_20h_F10</vt:lpstr>
      <vt:lpstr>_20h_F11</vt:lpstr>
      <vt:lpstr>_20h_F12</vt:lpstr>
      <vt:lpstr>_20h_F13</vt:lpstr>
      <vt:lpstr>_20h_F14</vt:lpstr>
      <vt:lpstr>_20h_F15</vt:lpstr>
      <vt:lpstr>_20h_F16</vt:lpstr>
      <vt:lpstr>_20h_F17</vt:lpstr>
      <vt:lpstr>_20h_F18</vt:lpstr>
      <vt:lpstr>_20h_F19</vt:lpstr>
      <vt:lpstr>_20h_F20</vt:lpstr>
      <vt:lpstr>_20h_F21</vt:lpstr>
      <vt:lpstr>_20h_F22</vt:lpstr>
      <vt:lpstr>_20h_F23</vt:lpstr>
      <vt:lpstr>_20h_F24</vt:lpstr>
      <vt:lpstr>_20h_F25</vt:lpstr>
      <vt:lpstr>_20h_F26</vt:lpstr>
      <vt:lpstr>_20h_F27</vt:lpstr>
      <vt:lpstr>_20h_F28</vt:lpstr>
      <vt:lpstr>_20h_F29</vt:lpstr>
      <vt:lpstr>_20h_F30</vt:lpstr>
      <vt:lpstr>_20h_F31</vt:lpstr>
      <vt:lpstr>_20h_F32</vt:lpstr>
      <vt:lpstr>_20h_F33</vt:lpstr>
      <vt:lpstr>_20h_F34</vt:lpstr>
      <vt:lpstr>_20h_F35</vt:lpstr>
      <vt:lpstr>_20h_F36</vt:lpstr>
      <vt:lpstr>_20h_F37</vt:lpstr>
      <vt:lpstr>_20h_F38</vt:lpstr>
      <vt:lpstr>_20h_F39</vt:lpstr>
      <vt:lpstr>_20h_F40</vt:lpstr>
      <vt:lpstr>_20h_F41</vt:lpstr>
      <vt:lpstr>_20h_F42</vt:lpstr>
      <vt:lpstr>_20h_F43</vt:lpstr>
      <vt:lpstr>_20h_F44</vt:lpstr>
      <vt:lpstr>_20h_F45</vt:lpstr>
      <vt:lpstr>_20h_F46</vt:lpstr>
      <vt:lpstr>_20h_F47</vt:lpstr>
      <vt:lpstr>_20h_F48</vt:lpstr>
      <vt:lpstr>_20h_F49</vt:lpstr>
      <vt:lpstr>_20h_F50</vt:lpstr>
      <vt:lpstr>_20h_F51</vt:lpstr>
      <vt:lpstr>_20h_F53</vt:lpstr>
      <vt:lpstr>_20h_F54</vt:lpstr>
      <vt:lpstr>_20h_F55</vt:lpstr>
      <vt:lpstr>_20h_F56</vt:lpstr>
      <vt:lpstr>_20h_F57</vt:lpstr>
      <vt:lpstr>_20h_F58</vt:lpstr>
      <vt:lpstr>_20h_F59</vt:lpstr>
      <vt:lpstr>_20h_F60</vt:lpstr>
      <vt:lpstr>_20h_F61</vt:lpstr>
      <vt:lpstr>_20h_F62</vt:lpstr>
      <vt:lpstr>_20h_F64</vt:lpstr>
      <vt:lpstr>_20h_F65</vt:lpstr>
      <vt:lpstr>_20h_F7</vt:lpstr>
      <vt:lpstr>_20h_F8</vt:lpstr>
      <vt:lpstr>_20h_F9</vt:lpstr>
      <vt:lpstr>_21h_E10</vt:lpstr>
      <vt:lpstr>_21h_E11</vt:lpstr>
      <vt:lpstr>_21h_E12</vt:lpstr>
      <vt:lpstr>_21h_E13</vt:lpstr>
      <vt:lpstr>_21h_E14</vt:lpstr>
      <vt:lpstr>_21h_E15</vt:lpstr>
      <vt:lpstr>_21h_E16</vt:lpstr>
      <vt:lpstr>_21h_E17</vt:lpstr>
      <vt:lpstr>_21h_E18</vt:lpstr>
      <vt:lpstr>_21h_E19</vt:lpstr>
      <vt:lpstr>_21h_E20</vt:lpstr>
      <vt:lpstr>_21h_E21</vt:lpstr>
      <vt:lpstr>_21h_E22</vt:lpstr>
      <vt:lpstr>_21h_E23</vt:lpstr>
      <vt:lpstr>_21h_E24</vt:lpstr>
      <vt:lpstr>_21h_E25</vt:lpstr>
      <vt:lpstr>_21h_E26</vt:lpstr>
      <vt:lpstr>_21h_E27</vt:lpstr>
      <vt:lpstr>_21h_E28</vt:lpstr>
      <vt:lpstr>_21h_E29</vt:lpstr>
      <vt:lpstr>_21h_E30</vt:lpstr>
      <vt:lpstr>_21h_E31</vt:lpstr>
      <vt:lpstr>_21h_E32</vt:lpstr>
      <vt:lpstr>_21h_E33</vt:lpstr>
      <vt:lpstr>_21h_E34</vt:lpstr>
      <vt:lpstr>_21h_E35</vt:lpstr>
      <vt:lpstr>_21h_E36</vt:lpstr>
      <vt:lpstr>_21h_E37</vt:lpstr>
      <vt:lpstr>_21h_E38</vt:lpstr>
      <vt:lpstr>_21h_E39</vt:lpstr>
      <vt:lpstr>_21h_E40</vt:lpstr>
      <vt:lpstr>_21h_E41</vt:lpstr>
      <vt:lpstr>_21h_E42</vt:lpstr>
      <vt:lpstr>_21h_E43</vt:lpstr>
      <vt:lpstr>_21h_E44</vt:lpstr>
      <vt:lpstr>_21h_E45</vt:lpstr>
      <vt:lpstr>_21h_E46</vt:lpstr>
      <vt:lpstr>_21h_E47</vt:lpstr>
      <vt:lpstr>_21h_E48</vt:lpstr>
      <vt:lpstr>_21h_E49</vt:lpstr>
      <vt:lpstr>_21h_E50</vt:lpstr>
      <vt:lpstr>_21h_E51</vt:lpstr>
      <vt:lpstr>_21h_E53</vt:lpstr>
      <vt:lpstr>_21h_E54</vt:lpstr>
      <vt:lpstr>_21h_E55</vt:lpstr>
      <vt:lpstr>_21h_E56</vt:lpstr>
      <vt:lpstr>_21h_E57</vt:lpstr>
      <vt:lpstr>_21h_E58</vt:lpstr>
      <vt:lpstr>_21h_E59</vt:lpstr>
      <vt:lpstr>_21h_E60</vt:lpstr>
      <vt:lpstr>_21h_E61</vt:lpstr>
      <vt:lpstr>_21h_E62</vt:lpstr>
      <vt:lpstr>_21h_E64</vt:lpstr>
      <vt:lpstr>_21h_E65</vt:lpstr>
      <vt:lpstr>_21h_E7</vt:lpstr>
      <vt:lpstr>_21h_E8</vt:lpstr>
      <vt:lpstr>_21h_E9</vt:lpstr>
      <vt:lpstr>_21h_F10</vt:lpstr>
      <vt:lpstr>_21h_F11</vt:lpstr>
      <vt:lpstr>_21h_F12</vt:lpstr>
      <vt:lpstr>_21h_F13</vt:lpstr>
      <vt:lpstr>_21h_F14</vt:lpstr>
      <vt:lpstr>_21h_F15</vt:lpstr>
      <vt:lpstr>_21h_F16</vt:lpstr>
      <vt:lpstr>_21h_F17</vt:lpstr>
      <vt:lpstr>_21h_F18</vt:lpstr>
      <vt:lpstr>_21h_F19</vt:lpstr>
      <vt:lpstr>_21h_F20</vt:lpstr>
      <vt:lpstr>_21h_F21</vt:lpstr>
      <vt:lpstr>_21h_F22</vt:lpstr>
      <vt:lpstr>_21h_F23</vt:lpstr>
      <vt:lpstr>_21h_F24</vt:lpstr>
      <vt:lpstr>_21h_F25</vt:lpstr>
      <vt:lpstr>_21h_F26</vt:lpstr>
      <vt:lpstr>_21h_F27</vt:lpstr>
      <vt:lpstr>_21h_F28</vt:lpstr>
      <vt:lpstr>_21h_F29</vt:lpstr>
      <vt:lpstr>_21h_F30</vt:lpstr>
      <vt:lpstr>_21h_F31</vt:lpstr>
      <vt:lpstr>_21h_F32</vt:lpstr>
      <vt:lpstr>_21h_F33</vt:lpstr>
      <vt:lpstr>_21h_F34</vt:lpstr>
      <vt:lpstr>_21h_F35</vt:lpstr>
      <vt:lpstr>_21h_F36</vt:lpstr>
      <vt:lpstr>_21h_F37</vt:lpstr>
      <vt:lpstr>_21h_F38</vt:lpstr>
      <vt:lpstr>_21h_F39</vt:lpstr>
      <vt:lpstr>_21h_F40</vt:lpstr>
      <vt:lpstr>_21h_F41</vt:lpstr>
      <vt:lpstr>_21h_F42</vt:lpstr>
      <vt:lpstr>_21h_F43</vt:lpstr>
      <vt:lpstr>_21h_F44</vt:lpstr>
      <vt:lpstr>_21h_F45</vt:lpstr>
      <vt:lpstr>_21h_F46</vt:lpstr>
      <vt:lpstr>_21h_F47</vt:lpstr>
      <vt:lpstr>_21h_F48</vt:lpstr>
      <vt:lpstr>_21h_F49</vt:lpstr>
      <vt:lpstr>_21h_F50</vt:lpstr>
      <vt:lpstr>_21h_F51</vt:lpstr>
      <vt:lpstr>_21h_F53</vt:lpstr>
      <vt:lpstr>_21h_F54</vt:lpstr>
      <vt:lpstr>_21h_F55</vt:lpstr>
      <vt:lpstr>_21h_F56</vt:lpstr>
      <vt:lpstr>_21h_F57</vt:lpstr>
      <vt:lpstr>_21h_F58</vt:lpstr>
      <vt:lpstr>_21h_F59</vt:lpstr>
      <vt:lpstr>_21h_F60</vt:lpstr>
      <vt:lpstr>_21h_F61</vt:lpstr>
      <vt:lpstr>_21h_F62</vt:lpstr>
      <vt:lpstr>_21h_F64</vt:lpstr>
      <vt:lpstr>_21h_F65</vt:lpstr>
      <vt:lpstr>_21h_F7</vt:lpstr>
      <vt:lpstr>_21h_F8</vt:lpstr>
      <vt:lpstr>_21h_F9</vt:lpstr>
      <vt:lpstr>_22h_E10</vt:lpstr>
      <vt:lpstr>_22h_E11</vt:lpstr>
      <vt:lpstr>_22h_E12</vt:lpstr>
      <vt:lpstr>_22h_E13</vt:lpstr>
      <vt:lpstr>_22h_E14</vt:lpstr>
      <vt:lpstr>_22h_E15</vt:lpstr>
      <vt:lpstr>_22h_E16</vt:lpstr>
      <vt:lpstr>_22h_E17</vt:lpstr>
      <vt:lpstr>_22h_E18</vt:lpstr>
      <vt:lpstr>_22h_E19</vt:lpstr>
      <vt:lpstr>_22h_E20</vt:lpstr>
      <vt:lpstr>_22h_E21</vt:lpstr>
      <vt:lpstr>_22h_E22</vt:lpstr>
      <vt:lpstr>_22h_E23</vt:lpstr>
      <vt:lpstr>_22h_E24</vt:lpstr>
      <vt:lpstr>_22h_E25</vt:lpstr>
      <vt:lpstr>_22h_E26</vt:lpstr>
      <vt:lpstr>_22h_E27</vt:lpstr>
      <vt:lpstr>_22h_E28</vt:lpstr>
      <vt:lpstr>_22h_E29</vt:lpstr>
      <vt:lpstr>_22h_E30</vt:lpstr>
      <vt:lpstr>_22h_E31</vt:lpstr>
      <vt:lpstr>_22h_E32</vt:lpstr>
      <vt:lpstr>_22h_E33</vt:lpstr>
      <vt:lpstr>_22h_E34</vt:lpstr>
      <vt:lpstr>_22h_E35</vt:lpstr>
      <vt:lpstr>_22h_E36</vt:lpstr>
      <vt:lpstr>_22h_E37</vt:lpstr>
      <vt:lpstr>_22h_E38</vt:lpstr>
      <vt:lpstr>_22h_E39</vt:lpstr>
      <vt:lpstr>_22h_E40</vt:lpstr>
      <vt:lpstr>_22h_E41</vt:lpstr>
      <vt:lpstr>_22h_E42</vt:lpstr>
      <vt:lpstr>_22h_E43</vt:lpstr>
      <vt:lpstr>_22h_E44</vt:lpstr>
      <vt:lpstr>_22h_E45</vt:lpstr>
      <vt:lpstr>_22h_E46</vt:lpstr>
      <vt:lpstr>_22h_E47</vt:lpstr>
      <vt:lpstr>_22h_E48</vt:lpstr>
      <vt:lpstr>_22h_E49</vt:lpstr>
      <vt:lpstr>_22h_E50</vt:lpstr>
      <vt:lpstr>_22h_E51</vt:lpstr>
      <vt:lpstr>_22h_E53</vt:lpstr>
      <vt:lpstr>_22h_E54</vt:lpstr>
      <vt:lpstr>_22h_E55</vt:lpstr>
      <vt:lpstr>_22h_E56</vt:lpstr>
      <vt:lpstr>_22h_E57</vt:lpstr>
      <vt:lpstr>_22h_E58</vt:lpstr>
      <vt:lpstr>_22h_E59</vt:lpstr>
      <vt:lpstr>_22h_E60</vt:lpstr>
      <vt:lpstr>_22h_E61</vt:lpstr>
      <vt:lpstr>_22h_E62</vt:lpstr>
      <vt:lpstr>_22h_E64</vt:lpstr>
      <vt:lpstr>_22h_E65</vt:lpstr>
      <vt:lpstr>_22h_E7</vt:lpstr>
      <vt:lpstr>_22h_E8</vt:lpstr>
      <vt:lpstr>_22h_E9</vt:lpstr>
      <vt:lpstr>_22h_F10</vt:lpstr>
      <vt:lpstr>_22h_F11</vt:lpstr>
      <vt:lpstr>_22h_F12</vt:lpstr>
      <vt:lpstr>_22h_F13</vt:lpstr>
      <vt:lpstr>_22h_F14</vt:lpstr>
      <vt:lpstr>_22h_F15</vt:lpstr>
      <vt:lpstr>_22h_F16</vt:lpstr>
      <vt:lpstr>_22h_F17</vt:lpstr>
      <vt:lpstr>_22h_F18</vt:lpstr>
      <vt:lpstr>_22h_F19</vt:lpstr>
      <vt:lpstr>_22h_F20</vt:lpstr>
      <vt:lpstr>_22h_F21</vt:lpstr>
      <vt:lpstr>_22h_F22</vt:lpstr>
      <vt:lpstr>_22h_F23</vt:lpstr>
      <vt:lpstr>_22h_F24</vt:lpstr>
      <vt:lpstr>_22h_F25</vt:lpstr>
      <vt:lpstr>_22h_F26</vt:lpstr>
      <vt:lpstr>_22h_F27</vt:lpstr>
      <vt:lpstr>_22h_F28</vt:lpstr>
      <vt:lpstr>_22h_F29</vt:lpstr>
      <vt:lpstr>_22h_F30</vt:lpstr>
      <vt:lpstr>_22h_F31</vt:lpstr>
      <vt:lpstr>_22h_F32</vt:lpstr>
      <vt:lpstr>_22h_F33</vt:lpstr>
      <vt:lpstr>_22h_F34</vt:lpstr>
      <vt:lpstr>_22h_F35</vt:lpstr>
      <vt:lpstr>_22h_F36</vt:lpstr>
      <vt:lpstr>_22h_F37</vt:lpstr>
      <vt:lpstr>_22h_F38</vt:lpstr>
      <vt:lpstr>_22h_F39</vt:lpstr>
      <vt:lpstr>_22h_F40</vt:lpstr>
      <vt:lpstr>_22h_F41</vt:lpstr>
      <vt:lpstr>_22h_F42</vt:lpstr>
      <vt:lpstr>_22h_F43</vt:lpstr>
      <vt:lpstr>_22h_F44</vt:lpstr>
      <vt:lpstr>_22h_F45</vt:lpstr>
      <vt:lpstr>_22h_F46</vt:lpstr>
      <vt:lpstr>_22h_F47</vt:lpstr>
      <vt:lpstr>_22h_F48</vt:lpstr>
      <vt:lpstr>_22h_F49</vt:lpstr>
      <vt:lpstr>_22h_F50</vt:lpstr>
      <vt:lpstr>_22h_F51</vt:lpstr>
      <vt:lpstr>_22h_F53</vt:lpstr>
      <vt:lpstr>_22h_F54</vt:lpstr>
      <vt:lpstr>_22h_F55</vt:lpstr>
      <vt:lpstr>_22h_F56</vt:lpstr>
      <vt:lpstr>_22h_F57</vt:lpstr>
      <vt:lpstr>_22h_F58</vt:lpstr>
      <vt:lpstr>_22h_F59</vt:lpstr>
      <vt:lpstr>_22h_F60</vt:lpstr>
      <vt:lpstr>_22h_F61</vt:lpstr>
      <vt:lpstr>_22h_F62</vt:lpstr>
      <vt:lpstr>_22h_F64</vt:lpstr>
      <vt:lpstr>_22h_F65</vt:lpstr>
      <vt:lpstr>_22h_F7</vt:lpstr>
      <vt:lpstr>_22h_F8</vt:lpstr>
      <vt:lpstr>_22h_F9</vt:lpstr>
      <vt:lpstr>_23h_E10</vt:lpstr>
      <vt:lpstr>_23h_E11</vt:lpstr>
      <vt:lpstr>_23h_E12</vt:lpstr>
      <vt:lpstr>_23h_E13</vt:lpstr>
      <vt:lpstr>_23h_E14</vt:lpstr>
      <vt:lpstr>_23h_E15</vt:lpstr>
      <vt:lpstr>_23h_E16</vt:lpstr>
      <vt:lpstr>_23h_E17</vt:lpstr>
      <vt:lpstr>_23h_E18</vt:lpstr>
      <vt:lpstr>_23h_E19</vt:lpstr>
      <vt:lpstr>_23h_E20</vt:lpstr>
      <vt:lpstr>_23h_E21</vt:lpstr>
      <vt:lpstr>_23h_E22</vt:lpstr>
      <vt:lpstr>_23h_E23</vt:lpstr>
      <vt:lpstr>_23h_E24</vt:lpstr>
      <vt:lpstr>_23h_E25</vt:lpstr>
      <vt:lpstr>_23h_E26</vt:lpstr>
      <vt:lpstr>_23h_E27</vt:lpstr>
      <vt:lpstr>_23h_E28</vt:lpstr>
      <vt:lpstr>_23h_E29</vt:lpstr>
      <vt:lpstr>_23h_E30</vt:lpstr>
      <vt:lpstr>_23h_E31</vt:lpstr>
      <vt:lpstr>_23h_E32</vt:lpstr>
      <vt:lpstr>_23h_E33</vt:lpstr>
      <vt:lpstr>_23h_E34</vt:lpstr>
      <vt:lpstr>_23h_E35</vt:lpstr>
      <vt:lpstr>_23h_E36</vt:lpstr>
      <vt:lpstr>_23h_E37</vt:lpstr>
      <vt:lpstr>_23h_E38</vt:lpstr>
      <vt:lpstr>_23h_E39</vt:lpstr>
      <vt:lpstr>_23h_E40</vt:lpstr>
      <vt:lpstr>_23h_E41</vt:lpstr>
      <vt:lpstr>_23h_E42</vt:lpstr>
      <vt:lpstr>_23h_E43</vt:lpstr>
      <vt:lpstr>_23h_E44</vt:lpstr>
      <vt:lpstr>_23h_E45</vt:lpstr>
      <vt:lpstr>_23h_E46</vt:lpstr>
      <vt:lpstr>_23h_E47</vt:lpstr>
      <vt:lpstr>_23h_E48</vt:lpstr>
      <vt:lpstr>_23h_E49</vt:lpstr>
      <vt:lpstr>_23h_E50</vt:lpstr>
      <vt:lpstr>_23h_E51</vt:lpstr>
      <vt:lpstr>_23h_E53</vt:lpstr>
      <vt:lpstr>_23h_E54</vt:lpstr>
      <vt:lpstr>_23h_E55</vt:lpstr>
      <vt:lpstr>_23h_E56</vt:lpstr>
      <vt:lpstr>_23h_E57</vt:lpstr>
      <vt:lpstr>_23h_E58</vt:lpstr>
      <vt:lpstr>_23h_E59</vt:lpstr>
      <vt:lpstr>_23h_E60</vt:lpstr>
      <vt:lpstr>_23h_E61</vt:lpstr>
      <vt:lpstr>_23h_E62</vt:lpstr>
      <vt:lpstr>_23h_E64</vt:lpstr>
      <vt:lpstr>_23h_E65</vt:lpstr>
      <vt:lpstr>_23h_E7</vt:lpstr>
      <vt:lpstr>_23h_E8</vt:lpstr>
      <vt:lpstr>_23h_E9</vt:lpstr>
      <vt:lpstr>_23h_F10</vt:lpstr>
      <vt:lpstr>_23h_F11</vt:lpstr>
      <vt:lpstr>_23h_F12</vt:lpstr>
      <vt:lpstr>_23h_F13</vt:lpstr>
      <vt:lpstr>_23h_F14</vt:lpstr>
      <vt:lpstr>_23h_F15</vt:lpstr>
      <vt:lpstr>_23h_F16</vt:lpstr>
      <vt:lpstr>_23h_F17</vt:lpstr>
      <vt:lpstr>_23h_F18</vt:lpstr>
      <vt:lpstr>_23h_F19</vt:lpstr>
      <vt:lpstr>_23h_F20</vt:lpstr>
      <vt:lpstr>_23h_F21</vt:lpstr>
      <vt:lpstr>_23h_F22</vt:lpstr>
      <vt:lpstr>_23h_F23</vt:lpstr>
      <vt:lpstr>_23h_F24</vt:lpstr>
      <vt:lpstr>_23h_F25</vt:lpstr>
      <vt:lpstr>_23h_F26</vt:lpstr>
      <vt:lpstr>_23h_F27</vt:lpstr>
      <vt:lpstr>_23h_F28</vt:lpstr>
      <vt:lpstr>_23h_F29</vt:lpstr>
      <vt:lpstr>_23h_F30</vt:lpstr>
      <vt:lpstr>_23h_F31</vt:lpstr>
      <vt:lpstr>_23h_F32</vt:lpstr>
      <vt:lpstr>_23h_F33</vt:lpstr>
      <vt:lpstr>_23h_F34</vt:lpstr>
      <vt:lpstr>_23h_F35</vt:lpstr>
      <vt:lpstr>_23h_F36</vt:lpstr>
      <vt:lpstr>_23h_F37</vt:lpstr>
      <vt:lpstr>_23h_F38</vt:lpstr>
      <vt:lpstr>_23h_F39</vt:lpstr>
      <vt:lpstr>_23h_F40</vt:lpstr>
      <vt:lpstr>_23h_F41</vt:lpstr>
      <vt:lpstr>_23h_F42</vt:lpstr>
      <vt:lpstr>_23h_F43</vt:lpstr>
      <vt:lpstr>_23h_F44</vt:lpstr>
      <vt:lpstr>_23h_F45</vt:lpstr>
      <vt:lpstr>_23h_F46</vt:lpstr>
      <vt:lpstr>_23h_F47</vt:lpstr>
      <vt:lpstr>_23h_F48</vt:lpstr>
      <vt:lpstr>_23h_F49</vt:lpstr>
      <vt:lpstr>_23h_F50</vt:lpstr>
      <vt:lpstr>_23h_F51</vt:lpstr>
      <vt:lpstr>_23h_F53</vt:lpstr>
      <vt:lpstr>_23h_F54</vt:lpstr>
      <vt:lpstr>_23h_F55</vt:lpstr>
      <vt:lpstr>_23h_F56</vt:lpstr>
      <vt:lpstr>_23h_F57</vt:lpstr>
      <vt:lpstr>_23h_F58</vt:lpstr>
      <vt:lpstr>_23h_F59</vt:lpstr>
      <vt:lpstr>_23h_F60</vt:lpstr>
      <vt:lpstr>_23h_F61</vt:lpstr>
      <vt:lpstr>_23h_F62</vt:lpstr>
      <vt:lpstr>_23h_F64</vt:lpstr>
      <vt:lpstr>_23h_F65</vt:lpstr>
      <vt:lpstr>_23h_F7</vt:lpstr>
      <vt:lpstr>_23h_F8</vt:lpstr>
      <vt:lpstr>_23h_F9</vt:lpstr>
      <vt:lpstr>_24h_E10</vt:lpstr>
      <vt:lpstr>_24h_E11</vt:lpstr>
      <vt:lpstr>_24h_E12</vt:lpstr>
      <vt:lpstr>_24h_E13</vt:lpstr>
      <vt:lpstr>_24h_E14</vt:lpstr>
      <vt:lpstr>_24h_E15</vt:lpstr>
      <vt:lpstr>_24h_E16</vt:lpstr>
      <vt:lpstr>_24h_E17</vt:lpstr>
      <vt:lpstr>_24h_E18</vt:lpstr>
      <vt:lpstr>_24h_E19</vt:lpstr>
      <vt:lpstr>_24h_E20</vt:lpstr>
      <vt:lpstr>_24h_E21</vt:lpstr>
      <vt:lpstr>_24h_E22</vt:lpstr>
      <vt:lpstr>_24h_E23</vt:lpstr>
      <vt:lpstr>_24h_E24</vt:lpstr>
      <vt:lpstr>_24h_E25</vt:lpstr>
      <vt:lpstr>_24h_E26</vt:lpstr>
      <vt:lpstr>_24h_E27</vt:lpstr>
      <vt:lpstr>_24h_E28</vt:lpstr>
      <vt:lpstr>_24h_E29</vt:lpstr>
      <vt:lpstr>_24h_E30</vt:lpstr>
      <vt:lpstr>_24h_E31</vt:lpstr>
      <vt:lpstr>_24h_E32</vt:lpstr>
      <vt:lpstr>_24h_E33</vt:lpstr>
      <vt:lpstr>_24h_E34</vt:lpstr>
      <vt:lpstr>_24h_E35</vt:lpstr>
      <vt:lpstr>_24h_E36</vt:lpstr>
      <vt:lpstr>_24h_E37</vt:lpstr>
      <vt:lpstr>_24h_E38</vt:lpstr>
      <vt:lpstr>_24h_E39</vt:lpstr>
      <vt:lpstr>_24h_E40</vt:lpstr>
      <vt:lpstr>_24h_E41</vt:lpstr>
      <vt:lpstr>_24h_E42</vt:lpstr>
      <vt:lpstr>_24h_E43</vt:lpstr>
      <vt:lpstr>_24h_E44</vt:lpstr>
      <vt:lpstr>_24h_E45</vt:lpstr>
      <vt:lpstr>_24h_E46</vt:lpstr>
      <vt:lpstr>_24h_E47</vt:lpstr>
      <vt:lpstr>_24h_E48</vt:lpstr>
      <vt:lpstr>_24h_E49</vt:lpstr>
      <vt:lpstr>_24h_E50</vt:lpstr>
      <vt:lpstr>_24h_E51</vt:lpstr>
      <vt:lpstr>_24h_E53</vt:lpstr>
      <vt:lpstr>_24h_E54</vt:lpstr>
      <vt:lpstr>_24h_E55</vt:lpstr>
      <vt:lpstr>_24h_E56</vt:lpstr>
      <vt:lpstr>_24h_E57</vt:lpstr>
      <vt:lpstr>_24h_E58</vt:lpstr>
      <vt:lpstr>_24h_E59</vt:lpstr>
      <vt:lpstr>_24h_E60</vt:lpstr>
      <vt:lpstr>_24h_E61</vt:lpstr>
      <vt:lpstr>_24h_E62</vt:lpstr>
      <vt:lpstr>_24h_E64</vt:lpstr>
      <vt:lpstr>_24h_E65</vt:lpstr>
      <vt:lpstr>_24h_E7</vt:lpstr>
      <vt:lpstr>_24h_E8</vt:lpstr>
      <vt:lpstr>_24h_E9</vt:lpstr>
      <vt:lpstr>_24h_F10</vt:lpstr>
      <vt:lpstr>_24h_F11</vt:lpstr>
      <vt:lpstr>_24h_F12</vt:lpstr>
      <vt:lpstr>_24h_F13</vt:lpstr>
      <vt:lpstr>_24h_F14</vt:lpstr>
      <vt:lpstr>_24h_F15</vt:lpstr>
      <vt:lpstr>_24h_F16</vt:lpstr>
      <vt:lpstr>_24h_F17</vt:lpstr>
      <vt:lpstr>_24h_F18</vt:lpstr>
      <vt:lpstr>_24h_F19</vt:lpstr>
      <vt:lpstr>_24h_F20</vt:lpstr>
      <vt:lpstr>_24h_F21</vt:lpstr>
      <vt:lpstr>_24h_F22</vt:lpstr>
      <vt:lpstr>_24h_F23</vt:lpstr>
      <vt:lpstr>_24h_F24</vt:lpstr>
      <vt:lpstr>_24h_F25</vt:lpstr>
      <vt:lpstr>_24h_F26</vt:lpstr>
      <vt:lpstr>_24h_F27</vt:lpstr>
      <vt:lpstr>_24h_F28</vt:lpstr>
      <vt:lpstr>_24h_F29</vt:lpstr>
      <vt:lpstr>_24h_F30</vt:lpstr>
      <vt:lpstr>_24h_F31</vt:lpstr>
      <vt:lpstr>_24h_F32</vt:lpstr>
      <vt:lpstr>_24h_F33</vt:lpstr>
      <vt:lpstr>_24h_F34</vt:lpstr>
      <vt:lpstr>_24h_F35</vt:lpstr>
      <vt:lpstr>_24h_F36</vt:lpstr>
      <vt:lpstr>_24h_F37</vt:lpstr>
      <vt:lpstr>_24h_F38</vt:lpstr>
      <vt:lpstr>_24h_F39</vt:lpstr>
      <vt:lpstr>_24h_F40</vt:lpstr>
      <vt:lpstr>_24h_F41</vt:lpstr>
      <vt:lpstr>_24h_F42</vt:lpstr>
      <vt:lpstr>_24h_F43</vt:lpstr>
      <vt:lpstr>_24h_F44</vt:lpstr>
      <vt:lpstr>_24h_F45</vt:lpstr>
      <vt:lpstr>_24h_F46</vt:lpstr>
      <vt:lpstr>_24h_F47</vt:lpstr>
      <vt:lpstr>_24h_F48</vt:lpstr>
      <vt:lpstr>_24h_F49</vt:lpstr>
      <vt:lpstr>_24h_F50</vt:lpstr>
      <vt:lpstr>_24h_F51</vt:lpstr>
      <vt:lpstr>_24h_F53</vt:lpstr>
      <vt:lpstr>_24h_F54</vt:lpstr>
      <vt:lpstr>_24h_F55</vt:lpstr>
      <vt:lpstr>_24h_F56</vt:lpstr>
      <vt:lpstr>_24h_F57</vt:lpstr>
      <vt:lpstr>_24h_F58</vt:lpstr>
      <vt:lpstr>_24h_F59</vt:lpstr>
      <vt:lpstr>_24h_F60</vt:lpstr>
      <vt:lpstr>_24h_F61</vt:lpstr>
      <vt:lpstr>_24h_F62</vt:lpstr>
      <vt:lpstr>_24h_F64</vt:lpstr>
      <vt:lpstr>_24h_F65</vt:lpstr>
      <vt:lpstr>_24h_F7</vt:lpstr>
      <vt:lpstr>_24h_F8</vt:lpstr>
      <vt:lpstr>_24h_F9</vt:lpstr>
      <vt:lpstr>_25h_E10</vt:lpstr>
      <vt:lpstr>_25h_E11</vt:lpstr>
      <vt:lpstr>_25h_E12</vt:lpstr>
      <vt:lpstr>_25h_E13</vt:lpstr>
      <vt:lpstr>_25h_E14</vt:lpstr>
      <vt:lpstr>_25h_E15</vt:lpstr>
      <vt:lpstr>_25h_E16</vt:lpstr>
      <vt:lpstr>_25h_E17</vt:lpstr>
      <vt:lpstr>_25h_E18</vt:lpstr>
      <vt:lpstr>_25h_E19</vt:lpstr>
      <vt:lpstr>_25h_E20</vt:lpstr>
      <vt:lpstr>_25h_E21</vt:lpstr>
      <vt:lpstr>_25h_E22</vt:lpstr>
      <vt:lpstr>_25h_E23</vt:lpstr>
      <vt:lpstr>_25h_E24</vt:lpstr>
      <vt:lpstr>_25h_E25</vt:lpstr>
      <vt:lpstr>_25h_E26</vt:lpstr>
      <vt:lpstr>_25h_E27</vt:lpstr>
      <vt:lpstr>_25h_E28</vt:lpstr>
      <vt:lpstr>_25h_E29</vt:lpstr>
      <vt:lpstr>_25h_E30</vt:lpstr>
      <vt:lpstr>_25h_E31</vt:lpstr>
      <vt:lpstr>_25h_E32</vt:lpstr>
      <vt:lpstr>_25h_E33</vt:lpstr>
      <vt:lpstr>_25h_E34</vt:lpstr>
      <vt:lpstr>_25h_E35</vt:lpstr>
      <vt:lpstr>_25h_E36</vt:lpstr>
      <vt:lpstr>_25h_E37</vt:lpstr>
      <vt:lpstr>_25h_E38</vt:lpstr>
      <vt:lpstr>_25h_E39</vt:lpstr>
      <vt:lpstr>_25h_E40</vt:lpstr>
      <vt:lpstr>_25h_E41</vt:lpstr>
      <vt:lpstr>_25h_E42</vt:lpstr>
      <vt:lpstr>_25h_E43</vt:lpstr>
      <vt:lpstr>_25h_E44</vt:lpstr>
      <vt:lpstr>_25h_E45</vt:lpstr>
      <vt:lpstr>_25h_E46</vt:lpstr>
      <vt:lpstr>_25h_E47</vt:lpstr>
      <vt:lpstr>_25h_E48</vt:lpstr>
      <vt:lpstr>_25h_E49</vt:lpstr>
      <vt:lpstr>_25h_E50</vt:lpstr>
      <vt:lpstr>_25h_E51</vt:lpstr>
      <vt:lpstr>_25h_E53</vt:lpstr>
      <vt:lpstr>_25h_E54</vt:lpstr>
      <vt:lpstr>_25h_E55</vt:lpstr>
      <vt:lpstr>_25h_E56</vt:lpstr>
      <vt:lpstr>_25h_E57</vt:lpstr>
      <vt:lpstr>_25h_E58</vt:lpstr>
      <vt:lpstr>_25h_E59</vt:lpstr>
      <vt:lpstr>_25h_E60</vt:lpstr>
      <vt:lpstr>_25h_E61</vt:lpstr>
      <vt:lpstr>_25h_E62</vt:lpstr>
      <vt:lpstr>_25h_E64</vt:lpstr>
      <vt:lpstr>_25h_E65</vt:lpstr>
      <vt:lpstr>_25h_E7</vt:lpstr>
      <vt:lpstr>_25h_E8</vt:lpstr>
      <vt:lpstr>_25h_E9</vt:lpstr>
      <vt:lpstr>_25h_F10</vt:lpstr>
      <vt:lpstr>_25h_F11</vt:lpstr>
      <vt:lpstr>_25h_F12</vt:lpstr>
      <vt:lpstr>_25h_F13</vt:lpstr>
      <vt:lpstr>_25h_F14</vt:lpstr>
      <vt:lpstr>_25h_F15</vt:lpstr>
      <vt:lpstr>_25h_F16</vt:lpstr>
      <vt:lpstr>_25h_F17</vt:lpstr>
      <vt:lpstr>_25h_F18</vt:lpstr>
      <vt:lpstr>_25h_F19</vt:lpstr>
      <vt:lpstr>_25h_F20</vt:lpstr>
      <vt:lpstr>_25h_F21</vt:lpstr>
      <vt:lpstr>_25h_F22</vt:lpstr>
      <vt:lpstr>_25h_F23</vt:lpstr>
      <vt:lpstr>_25h_F24</vt:lpstr>
      <vt:lpstr>_25h_F25</vt:lpstr>
      <vt:lpstr>_25h_F26</vt:lpstr>
      <vt:lpstr>_25h_F27</vt:lpstr>
      <vt:lpstr>_25h_F28</vt:lpstr>
      <vt:lpstr>_25h_F29</vt:lpstr>
      <vt:lpstr>_25h_F30</vt:lpstr>
      <vt:lpstr>_25h_F31</vt:lpstr>
      <vt:lpstr>_25h_F32</vt:lpstr>
      <vt:lpstr>_25h_F33</vt:lpstr>
      <vt:lpstr>_25h_F34</vt:lpstr>
      <vt:lpstr>_25h_F35</vt:lpstr>
      <vt:lpstr>_25h_F36</vt:lpstr>
      <vt:lpstr>_25h_F37</vt:lpstr>
      <vt:lpstr>_25h_F38</vt:lpstr>
      <vt:lpstr>_25h_F39</vt:lpstr>
      <vt:lpstr>_25h_F40</vt:lpstr>
      <vt:lpstr>_25h_F41</vt:lpstr>
      <vt:lpstr>_25h_F42</vt:lpstr>
      <vt:lpstr>_25h_F43</vt:lpstr>
      <vt:lpstr>_25h_F44</vt:lpstr>
      <vt:lpstr>_25h_F45</vt:lpstr>
      <vt:lpstr>_25h_F46</vt:lpstr>
      <vt:lpstr>_25h_F47</vt:lpstr>
      <vt:lpstr>_25h_F48</vt:lpstr>
      <vt:lpstr>_25h_F49</vt:lpstr>
      <vt:lpstr>_25h_F50</vt:lpstr>
      <vt:lpstr>_25h_F51</vt:lpstr>
      <vt:lpstr>_25h_F53</vt:lpstr>
      <vt:lpstr>_25h_F54</vt:lpstr>
      <vt:lpstr>_25h_F55</vt:lpstr>
      <vt:lpstr>_25h_F56</vt:lpstr>
      <vt:lpstr>_25h_F57</vt:lpstr>
      <vt:lpstr>_25h_F58</vt:lpstr>
      <vt:lpstr>_25h_F59</vt:lpstr>
      <vt:lpstr>_25h_F60</vt:lpstr>
      <vt:lpstr>_25h_F61</vt:lpstr>
      <vt:lpstr>_25h_F62</vt:lpstr>
      <vt:lpstr>_25h_F64</vt:lpstr>
      <vt:lpstr>_25h_F65</vt:lpstr>
      <vt:lpstr>_25h_F7</vt:lpstr>
      <vt:lpstr>_25h_F8</vt:lpstr>
      <vt:lpstr>_25h_F9</vt:lpstr>
      <vt:lpstr>_26h_E10</vt:lpstr>
      <vt:lpstr>_26h_E11</vt:lpstr>
      <vt:lpstr>_26h_E12</vt:lpstr>
      <vt:lpstr>_26h_E13</vt:lpstr>
      <vt:lpstr>_26h_E14</vt:lpstr>
      <vt:lpstr>_26h_E15</vt:lpstr>
      <vt:lpstr>_26h_E16</vt:lpstr>
      <vt:lpstr>_26h_E17</vt:lpstr>
      <vt:lpstr>_26h_E18</vt:lpstr>
      <vt:lpstr>_26h_E19</vt:lpstr>
      <vt:lpstr>_26h_E20</vt:lpstr>
      <vt:lpstr>_26h_E21</vt:lpstr>
      <vt:lpstr>_26h_E22</vt:lpstr>
      <vt:lpstr>_26h_E23</vt:lpstr>
      <vt:lpstr>_26h_E24</vt:lpstr>
      <vt:lpstr>_26h_E25</vt:lpstr>
      <vt:lpstr>_26h_E26</vt:lpstr>
      <vt:lpstr>_26h_E27</vt:lpstr>
      <vt:lpstr>_26h_E28</vt:lpstr>
      <vt:lpstr>_26h_E29</vt:lpstr>
      <vt:lpstr>_26h_E30</vt:lpstr>
      <vt:lpstr>_26h_E31</vt:lpstr>
      <vt:lpstr>_26h_E32</vt:lpstr>
      <vt:lpstr>_26h_E33</vt:lpstr>
      <vt:lpstr>_26h_E34</vt:lpstr>
      <vt:lpstr>_26h_E35</vt:lpstr>
      <vt:lpstr>_26h_E36</vt:lpstr>
      <vt:lpstr>_26h_E37</vt:lpstr>
      <vt:lpstr>_26h_E38</vt:lpstr>
      <vt:lpstr>_26h_E39</vt:lpstr>
      <vt:lpstr>_26h_E40</vt:lpstr>
      <vt:lpstr>_26h_E41</vt:lpstr>
      <vt:lpstr>_26h_E42</vt:lpstr>
      <vt:lpstr>_26h_E43</vt:lpstr>
      <vt:lpstr>_26h_E44</vt:lpstr>
      <vt:lpstr>_26h_E45</vt:lpstr>
      <vt:lpstr>_26h_E46</vt:lpstr>
      <vt:lpstr>_26h_E47</vt:lpstr>
      <vt:lpstr>_26h_E48</vt:lpstr>
      <vt:lpstr>_26h_E49</vt:lpstr>
      <vt:lpstr>_26h_E50</vt:lpstr>
      <vt:lpstr>_26h_E51</vt:lpstr>
      <vt:lpstr>_26h_E53</vt:lpstr>
      <vt:lpstr>_26h_E54</vt:lpstr>
      <vt:lpstr>_26h_E55</vt:lpstr>
      <vt:lpstr>_26h_E56</vt:lpstr>
      <vt:lpstr>_26h_E57</vt:lpstr>
      <vt:lpstr>_26h_E58</vt:lpstr>
      <vt:lpstr>_26h_E59</vt:lpstr>
      <vt:lpstr>_26h_E60</vt:lpstr>
      <vt:lpstr>_26h_E61</vt:lpstr>
      <vt:lpstr>_26h_E62</vt:lpstr>
      <vt:lpstr>_26h_E64</vt:lpstr>
      <vt:lpstr>_26h_E65</vt:lpstr>
      <vt:lpstr>_26h_E7</vt:lpstr>
      <vt:lpstr>_26h_E8</vt:lpstr>
      <vt:lpstr>_26h_E9</vt:lpstr>
      <vt:lpstr>_26h_F10</vt:lpstr>
      <vt:lpstr>_26h_F11</vt:lpstr>
      <vt:lpstr>_26h_F12</vt:lpstr>
      <vt:lpstr>_26h_F13</vt:lpstr>
      <vt:lpstr>_26h_F14</vt:lpstr>
      <vt:lpstr>_26h_F15</vt:lpstr>
      <vt:lpstr>_26h_F16</vt:lpstr>
      <vt:lpstr>_26h_F17</vt:lpstr>
      <vt:lpstr>_26h_F18</vt:lpstr>
      <vt:lpstr>_26h_F19</vt:lpstr>
      <vt:lpstr>_26h_F20</vt:lpstr>
      <vt:lpstr>_26h_F21</vt:lpstr>
      <vt:lpstr>_26h_F22</vt:lpstr>
      <vt:lpstr>_26h_F23</vt:lpstr>
      <vt:lpstr>_26h_F24</vt:lpstr>
      <vt:lpstr>_26h_F25</vt:lpstr>
      <vt:lpstr>_26h_F26</vt:lpstr>
      <vt:lpstr>_26h_F27</vt:lpstr>
      <vt:lpstr>_26h_F28</vt:lpstr>
      <vt:lpstr>_26h_F29</vt:lpstr>
      <vt:lpstr>_26h_F30</vt:lpstr>
      <vt:lpstr>_26h_F31</vt:lpstr>
      <vt:lpstr>_26h_F32</vt:lpstr>
      <vt:lpstr>_26h_F33</vt:lpstr>
      <vt:lpstr>_26h_F34</vt:lpstr>
      <vt:lpstr>_26h_F35</vt:lpstr>
      <vt:lpstr>_26h_F36</vt:lpstr>
      <vt:lpstr>_26h_F37</vt:lpstr>
      <vt:lpstr>_26h_F38</vt:lpstr>
      <vt:lpstr>_26h_F39</vt:lpstr>
      <vt:lpstr>_26h_F40</vt:lpstr>
      <vt:lpstr>_26h_F41</vt:lpstr>
      <vt:lpstr>_26h_F42</vt:lpstr>
      <vt:lpstr>_26h_F43</vt:lpstr>
      <vt:lpstr>_26h_F44</vt:lpstr>
      <vt:lpstr>_26h_F45</vt:lpstr>
      <vt:lpstr>_26h_F46</vt:lpstr>
      <vt:lpstr>_26h_F47</vt:lpstr>
      <vt:lpstr>_26h_F48</vt:lpstr>
      <vt:lpstr>_26h_F49</vt:lpstr>
      <vt:lpstr>_26h_F50</vt:lpstr>
      <vt:lpstr>_26h_F51</vt:lpstr>
      <vt:lpstr>_26h_F53</vt:lpstr>
      <vt:lpstr>_26h_F54</vt:lpstr>
      <vt:lpstr>_26h_F55</vt:lpstr>
      <vt:lpstr>_26h_F56</vt:lpstr>
      <vt:lpstr>_26h_F57</vt:lpstr>
      <vt:lpstr>_26h_F58</vt:lpstr>
      <vt:lpstr>_26h_F59</vt:lpstr>
      <vt:lpstr>_26h_F60</vt:lpstr>
      <vt:lpstr>_26h_F61</vt:lpstr>
      <vt:lpstr>_26h_F62</vt:lpstr>
      <vt:lpstr>_26h_F64</vt:lpstr>
      <vt:lpstr>_26h_F65</vt:lpstr>
      <vt:lpstr>_26h_F7</vt:lpstr>
      <vt:lpstr>_26h_F8</vt:lpstr>
      <vt:lpstr>_26h_F9</vt:lpstr>
      <vt:lpstr>_27h_E10</vt:lpstr>
      <vt:lpstr>_27h_E11</vt:lpstr>
      <vt:lpstr>_27h_E12</vt:lpstr>
      <vt:lpstr>_27h_E13</vt:lpstr>
      <vt:lpstr>_27h_E14</vt:lpstr>
      <vt:lpstr>_27h_E15</vt:lpstr>
      <vt:lpstr>_27h_E16</vt:lpstr>
      <vt:lpstr>_27h_E17</vt:lpstr>
      <vt:lpstr>_27h_E18</vt:lpstr>
      <vt:lpstr>_27h_E19</vt:lpstr>
      <vt:lpstr>_27h_E20</vt:lpstr>
      <vt:lpstr>_27h_E21</vt:lpstr>
      <vt:lpstr>_27h_E22</vt:lpstr>
      <vt:lpstr>_27h_E23</vt:lpstr>
      <vt:lpstr>_27h_E24</vt:lpstr>
      <vt:lpstr>_27h_E25</vt:lpstr>
      <vt:lpstr>_27h_E26</vt:lpstr>
      <vt:lpstr>_27h_E27</vt:lpstr>
      <vt:lpstr>_27h_E28</vt:lpstr>
      <vt:lpstr>_27h_E29</vt:lpstr>
      <vt:lpstr>_27h_E30</vt:lpstr>
      <vt:lpstr>_27h_E31</vt:lpstr>
      <vt:lpstr>_27h_E32</vt:lpstr>
      <vt:lpstr>_27h_E33</vt:lpstr>
      <vt:lpstr>_27h_E34</vt:lpstr>
      <vt:lpstr>_27h_E35</vt:lpstr>
      <vt:lpstr>_27h_E36</vt:lpstr>
      <vt:lpstr>_27h_E37</vt:lpstr>
      <vt:lpstr>_27h_E38</vt:lpstr>
      <vt:lpstr>_27h_E39</vt:lpstr>
      <vt:lpstr>_27h_E40</vt:lpstr>
      <vt:lpstr>_27h_E41</vt:lpstr>
      <vt:lpstr>_27h_E42</vt:lpstr>
      <vt:lpstr>_27h_E43</vt:lpstr>
      <vt:lpstr>_27h_E44</vt:lpstr>
      <vt:lpstr>_27h_E45</vt:lpstr>
      <vt:lpstr>_27h_E46</vt:lpstr>
      <vt:lpstr>_27h_E47</vt:lpstr>
      <vt:lpstr>_27h_E48</vt:lpstr>
      <vt:lpstr>_27h_E49</vt:lpstr>
      <vt:lpstr>_27h_E50</vt:lpstr>
      <vt:lpstr>_27h_E51</vt:lpstr>
      <vt:lpstr>_27h_E53</vt:lpstr>
      <vt:lpstr>_27h_E54</vt:lpstr>
      <vt:lpstr>_27h_E55</vt:lpstr>
      <vt:lpstr>_27h_E56</vt:lpstr>
      <vt:lpstr>_27h_E57</vt:lpstr>
      <vt:lpstr>_27h_E58</vt:lpstr>
      <vt:lpstr>_27h_E59</vt:lpstr>
      <vt:lpstr>_27h_E60</vt:lpstr>
      <vt:lpstr>_27h_E61</vt:lpstr>
      <vt:lpstr>_27h_E62</vt:lpstr>
      <vt:lpstr>_27h_E64</vt:lpstr>
      <vt:lpstr>_27h_E65</vt:lpstr>
      <vt:lpstr>_27h_E7</vt:lpstr>
      <vt:lpstr>_27h_E8</vt:lpstr>
      <vt:lpstr>_27h_E9</vt:lpstr>
      <vt:lpstr>_27h_F10</vt:lpstr>
      <vt:lpstr>_27h_F11</vt:lpstr>
      <vt:lpstr>_27h_F12</vt:lpstr>
      <vt:lpstr>_27h_F13</vt:lpstr>
      <vt:lpstr>_27h_F14</vt:lpstr>
      <vt:lpstr>_27h_F15</vt:lpstr>
      <vt:lpstr>_27h_F16</vt:lpstr>
      <vt:lpstr>_27h_F17</vt:lpstr>
      <vt:lpstr>_27h_F18</vt:lpstr>
      <vt:lpstr>_27h_F19</vt:lpstr>
      <vt:lpstr>_27h_F20</vt:lpstr>
      <vt:lpstr>_27h_F21</vt:lpstr>
      <vt:lpstr>_27h_F22</vt:lpstr>
      <vt:lpstr>_27h_F23</vt:lpstr>
      <vt:lpstr>_27h_F24</vt:lpstr>
      <vt:lpstr>_27h_F25</vt:lpstr>
      <vt:lpstr>_27h_F26</vt:lpstr>
      <vt:lpstr>_27h_F27</vt:lpstr>
      <vt:lpstr>_27h_F28</vt:lpstr>
      <vt:lpstr>_27h_F29</vt:lpstr>
      <vt:lpstr>_27h_F30</vt:lpstr>
      <vt:lpstr>_27h_F31</vt:lpstr>
      <vt:lpstr>_27h_F32</vt:lpstr>
      <vt:lpstr>_27h_F33</vt:lpstr>
      <vt:lpstr>_27h_F34</vt:lpstr>
      <vt:lpstr>_27h_F35</vt:lpstr>
      <vt:lpstr>_27h_F36</vt:lpstr>
      <vt:lpstr>_27h_F37</vt:lpstr>
      <vt:lpstr>_27h_F38</vt:lpstr>
      <vt:lpstr>_27h_F39</vt:lpstr>
      <vt:lpstr>_27h_F40</vt:lpstr>
      <vt:lpstr>_27h_F41</vt:lpstr>
      <vt:lpstr>_27h_F42</vt:lpstr>
      <vt:lpstr>_27h_F43</vt:lpstr>
      <vt:lpstr>_27h_F44</vt:lpstr>
      <vt:lpstr>_27h_F45</vt:lpstr>
      <vt:lpstr>_27h_F46</vt:lpstr>
      <vt:lpstr>_27h_F47</vt:lpstr>
      <vt:lpstr>_27h_F48</vt:lpstr>
      <vt:lpstr>_27h_F49</vt:lpstr>
      <vt:lpstr>_27h_F50</vt:lpstr>
      <vt:lpstr>_27h_F51</vt:lpstr>
      <vt:lpstr>_27h_F53</vt:lpstr>
      <vt:lpstr>_27h_F54</vt:lpstr>
      <vt:lpstr>_27h_F55</vt:lpstr>
      <vt:lpstr>_27h_F56</vt:lpstr>
      <vt:lpstr>_27h_F57</vt:lpstr>
      <vt:lpstr>_27h_F58</vt:lpstr>
      <vt:lpstr>_27h_F59</vt:lpstr>
      <vt:lpstr>_27h_F60</vt:lpstr>
      <vt:lpstr>_27h_F61</vt:lpstr>
      <vt:lpstr>_27h_F62</vt:lpstr>
      <vt:lpstr>_27h_F64</vt:lpstr>
      <vt:lpstr>_27h_F65</vt:lpstr>
      <vt:lpstr>_27h_F7</vt:lpstr>
      <vt:lpstr>_27h_F8</vt:lpstr>
      <vt:lpstr>_27h_F9</vt:lpstr>
      <vt:lpstr>_28h_E10</vt:lpstr>
      <vt:lpstr>_28h_E11</vt:lpstr>
      <vt:lpstr>_28h_E12</vt:lpstr>
      <vt:lpstr>_28h_E13</vt:lpstr>
      <vt:lpstr>_28h_E14</vt:lpstr>
      <vt:lpstr>_28h_E15</vt:lpstr>
      <vt:lpstr>_28h_E16</vt:lpstr>
      <vt:lpstr>_28h_E17</vt:lpstr>
      <vt:lpstr>_28h_E18</vt:lpstr>
      <vt:lpstr>_28h_E19</vt:lpstr>
      <vt:lpstr>_28h_E20</vt:lpstr>
      <vt:lpstr>_28h_E21</vt:lpstr>
      <vt:lpstr>_28h_E22</vt:lpstr>
      <vt:lpstr>_28h_E23</vt:lpstr>
      <vt:lpstr>_28h_E24</vt:lpstr>
      <vt:lpstr>_28h_E25</vt:lpstr>
      <vt:lpstr>_28h_E26</vt:lpstr>
      <vt:lpstr>_28h_E27</vt:lpstr>
      <vt:lpstr>_28h_E28</vt:lpstr>
      <vt:lpstr>_28h_E29</vt:lpstr>
      <vt:lpstr>_28h_E30</vt:lpstr>
      <vt:lpstr>_28h_E31</vt:lpstr>
      <vt:lpstr>_28h_E32</vt:lpstr>
      <vt:lpstr>_28h_E33</vt:lpstr>
      <vt:lpstr>_28h_E34</vt:lpstr>
      <vt:lpstr>_28h_E35</vt:lpstr>
      <vt:lpstr>_28h_E36</vt:lpstr>
      <vt:lpstr>_28h_E37</vt:lpstr>
      <vt:lpstr>_28h_E38</vt:lpstr>
      <vt:lpstr>_28h_E39</vt:lpstr>
      <vt:lpstr>_28h_E40</vt:lpstr>
      <vt:lpstr>_28h_E41</vt:lpstr>
      <vt:lpstr>_28h_E42</vt:lpstr>
      <vt:lpstr>_28h_E43</vt:lpstr>
      <vt:lpstr>_28h_E44</vt:lpstr>
      <vt:lpstr>_28h_E45</vt:lpstr>
      <vt:lpstr>_28h_E46</vt:lpstr>
      <vt:lpstr>_28h_E47</vt:lpstr>
      <vt:lpstr>_28h_E48</vt:lpstr>
      <vt:lpstr>_28h_E49</vt:lpstr>
      <vt:lpstr>_28h_E50</vt:lpstr>
      <vt:lpstr>_28h_E51</vt:lpstr>
      <vt:lpstr>_28h_E53</vt:lpstr>
      <vt:lpstr>_28h_E54</vt:lpstr>
      <vt:lpstr>_28h_E55</vt:lpstr>
      <vt:lpstr>_28h_E56</vt:lpstr>
      <vt:lpstr>_28h_E57</vt:lpstr>
      <vt:lpstr>_28h_E58</vt:lpstr>
      <vt:lpstr>_28h_E59</vt:lpstr>
      <vt:lpstr>_28h_E60</vt:lpstr>
      <vt:lpstr>_28h_E61</vt:lpstr>
      <vt:lpstr>_28h_E62</vt:lpstr>
      <vt:lpstr>_28h_E64</vt:lpstr>
      <vt:lpstr>_28h_E65</vt:lpstr>
      <vt:lpstr>_28h_E7</vt:lpstr>
      <vt:lpstr>_28h_E8</vt:lpstr>
      <vt:lpstr>_28h_E9</vt:lpstr>
      <vt:lpstr>_28h_F10</vt:lpstr>
      <vt:lpstr>_28h_F11</vt:lpstr>
      <vt:lpstr>_28h_F12</vt:lpstr>
      <vt:lpstr>_28h_F13</vt:lpstr>
      <vt:lpstr>_28h_F14</vt:lpstr>
      <vt:lpstr>_28h_F15</vt:lpstr>
      <vt:lpstr>_28h_F16</vt:lpstr>
      <vt:lpstr>_28h_F17</vt:lpstr>
      <vt:lpstr>_28h_F18</vt:lpstr>
      <vt:lpstr>_28h_F19</vt:lpstr>
      <vt:lpstr>_28h_F20</vt:lpstr>
      <vt:lpstr>_28h_F21</vt:lpstr>
      <vt:lpstr>_28h_F22</vt:lpstr>
      <vt:lpstr>_28h_F23</vt:lpstr>
      <vt:lpstr>_28h_F24</vt:lpstr>
      <vt:lpstr>_28h_F25</vt:lpstr>
      <vt:lpstr>_28h_F26</vt:lpstr>
      <vt:lpstr>_28h_F27</vt:lpstr>
      <vt:lpstr>_28h_F28</vt:lpstr>
      <vt:lpstr>_28h_F29</vt:lpstr>
      <vt:lpstr>_28h_F30</vt:lpstr>
      <vt:lpstr>_28h_F31</vt:lpstr>
      <vt:lpstr>_28h_F32</vt:lpstr>
      <vt:lpstr>_28h_F33</vt:lpstr>
      <vt:lpstr>_28h_F34</vt:lpstr>
      <vt:lpstr>_28h_F35</vt:lpstr>
      <vt:lpstr>_28h_F36</vt:lpstr>
      <vt:lpstr>_28h_F37</vt:lpstr>
      <vt:lpstr>_28h_F38</vt:lpstr>
      <vt:lpstr>_28h_F39</vt:lpstr>
      <vt:lpstr>_28h_F40</vt:lpstr>
      <vt:lpstr>_28h_F41</vt:lpstr>
      <vt:lpstr>_28h_F42</vt:lpstr>
      <vt:lpstr>_28h_F43</vt:lpstr>
      <vt:lpstr>_28h_F44</vt:lpstr>
      <vt:lpstr>_28h_F45</vt:lpstr>
      <vt:lpstr>_28h_F46</vt:lpstr>
      <vt:lpstr>_28h_F47</vt:lpstr>
      <vt:lpstr>_28h_F48</vt:lpstr>
      <vt:lpstr>_28h_F49</vt:lpstr>
      <vt:lpstr>_28h_F50</vt:lpstr>
      <vt:lpstr>_28h_F51</vt:lpstr>
      <vt:lpstr>_28h_F53</vt:lpstr>
      <vt:lpstr>_28h_F54</vt:lpstr>
      <vt:lpstr>_28h_F55</vt:lpstr>
      <vt:lpstr>_28h_F56</vt:lpstr>
      <vt:lpstr>_28h_F57</vt:lpstr>
      <vt:lpstr>_28h_F58</vt:lpstr>
      <vt:lpstr>_28h_F59</vt:lpstr>
      <vt:lpstr>_28h_F60</vt:lpstr>
      <vt:lpstr>_28h_F61</vt:lpstr>
      <vt:lpstr>_28h_F62</vt:lpstr>
      <vt:lpstr>_28h_F64</vt:lpstr>
      <vt:lpstr>_28h_F65</vt:lpstr>
      <vt:lpstr>_28h_F7</vt:lpstr>
      <vt:lpstr>_28h_F8</vt:lpstr>
      <vt:lpstr>_28h_F9</vt:lpstr>
      <vt:lpstr>_29h_E10</vt:lpstr>
      <vt:lpstr>_29h_E11</vt:lpstr>
      <vt:lpstr>_29h_E12</vt:lpstr>
      <vt:lpstr>_29h_E13</vt:lpstr>
      <vt:lpstr>_29h_E14</vt:lpstr>
      <vt:lpstr>_29h_E15</vt:lpstr>
      <vt:lpstr>_29h_E16</vt:lpstr>
      <vt:lpstr>_29h_E17</vt:lpstr>
      <vt:lpstr>_29h_E18</vt:lpstr>
      <vt:lpstr>_29h_E19</vt:lpstr>
      <vt:lpstr>_29h_E20</vt:lpstr>
      <vt:lpstr>_29h_E21</vt:lpstr>
      <vt:lpstr>_29h_E22</vt:lpstr>
      <vt:lpstr>_29h_E23</vt:lpstr>
      <vt:lpstr>_29h_E24</vt:lpstr>
      <vt:lpstr>_29h_E25</vt:lpstr>
      <vt:lpstr>_29h_E26</vt:lpstr>
      <vt:lpstr>_29h_E27</vt:lpstr>
      <vt:lpstr>_29h_E28</vt:lpstr>
      <vt:lpstr>_29h_E29</vt:lpstr>
      <vt:lpstr>_29h_E30</vt:lpstr>
      <vt:lpstr>_29h_E31</vt:lpstr>
      <vt:lpstr>_29h_E32</vt:lpstr>
      <vt:lpstr>_29h_E33</vt:lpstr>
      <vt:lpstr>_29h_E34</vt:lpstr>
      <vt:lpstr>_29h_E35</vt:lpstr>
      <vt:lpstr>_29h_E36</vt:lpstr>
      <vt:lpstr>_29h_E37</vt:lpstr>
      <vt:lpstr>_29h_E38</vt:lpstr>
      <vt:lpstr>_29h_E39</vt:lpstr>
      <vt:lpstr>_29h_E40</vt:lpstr>
      <vt:lpstr>_29h_E41</vt:lpstr>
      <vt:lpstr>_29h_E42</vt:lpstr>
      <vt:lpstr>_29h_E43</vt:lpstr>
      <vt:lpstr>_29h_E44</vt:lpstr>
      <vt:lpstr>_29h_E45</vt:lpstr>
      <vt:lpstr>_29h_E46</vt:lpstr>
      <vt:lpstr>_29h_E47</vt:lpstr>
      <vt:lpstr>_29h_E48</vt:lpstr>
      <vt:lpstr>_29h_E49</vt:lpstr>
      <vt:lpstr>_29h_E50</vt:lpstr>
      <vt:lpstr>_29h_E51</vt:lpstr>
      <vt:lpstr>_29h_E53</vt:lpstr>
      <vt:lpstr>_29h_E54</vt:lpstr>
      <vt:lpstr>_29h_E55</vt:lpstr>
      <vt:lpstr>_29h_E56</vt:lpstr>
      <vt:lpstr>_29h_E57</vt:lpstr>
      <vt:lpstr>_29h_E58</vt:lpstr>
      <vt:lpstr>_29h_E59</vt:lpstr>
      <vt:lpstr>_29h_E60</vt:lpstr>
      <vt:lpstr>_29h_E61</vt:lpstr>
      <vt:lpstr>_29h_E62</vt:lpstr>
      <vt:lpstr>_29h_E64</vt:lpstr>
      <vt:lpstr>_29h_E65</vt:lpstr>
      <vt:lpstr>_29h_E7</vt:lpstr>
      <vt:lpstr>_29h_E8</vt:lpstr>
      <vt:lpstr>_29h_E9</vt:lpstr>
      <vt:lpstr>_29h_F10</vt:lpstr>
      <vt:lpstr>_29h_F11</vt:lpstr>
      <vt:lpstr>_29h_F12</vt:lpstr>
      <vt:lpstr>_29h_F13</vt:lpstr>
      <vt:lpstr>_29h_F14</vt:lpstr>
      <vt:lpstr>_29h_F15</vt:lpstr>
      <vt:lpstr>_29h_F16</vt:lpstr>
      <vt:lpstr>_29h_F17</vt:lpstr>
      <vt:lpstr>_29h_F18</vt:lpstr>
      <vt:lpstr>_29h_F19</vt:lpstr>
      <vt:lpstr>_29h_F20</vt:lpstr>
      <vt:lpstr>_29h_F21</vt:lpstr>
      <vt:lpstr>_29h_F22</vt:lpstr>
      <vt:lpstr>_29h_F23</vt:lpstr>
      <vt:lpstr>_29h_F24</vt:lpstr>
      <vt:lpstr>_29h_F25</vt:lpstr>
      <vt:lpstr>_29h_F26</vt:lpstr>
      <vt:lpstr>_29h_F27</vt:lpstr>
      <vt:lpstr>_29h_F28</vt:lpstr>
      <vt:lpstr>_29h_F29</vt:lpstr>
      <vt:lpstr>_29h_F30</vt:lpstr>
      <vt:lpstr>_29h_F31</vt:lpstr>
      <vt:lpstr>_29h_F32</vt:lpstr>
      <vt:lpstr>_29h_F33</vt:lpstr>
      <vt:lpstr>_29h_F34</vt:lpstr>
      <vt:lpstr>_29h_F35</vt:lpstr>
      <vt:lpstr>_29h_F36</vt:lpstr>
      <vt:lpstr>_29h_F37</vt:lpstr>
      <vt:lpstr>_29h_F38</vt:lpstr>
      <vt:lpstr>_29h_F39</vt:lpstr>
      <vt:lpstr>_29h_F40</vt:lpstr>
      <vt:lpstr>_29h_F41</vt:lpstr>
      <vt:lpstr>_29h_F42</vt:lpstr>
      <vt:lpstr>_29h_F43</vt:lpstr>
      <vt:lpstr>_29h_F44</vt:lpstr>
      <vt:lpstr>_29h_F45</vt:lpstr>
      <vt:lpstr>_29h_F46</vt:lpstr>
      <vt:lpstr>_29h_F47</vt:lpstr>
      <vt:lpstr>_29h_F48</vt:lpstr>
      <vt:lpstr>_29h_F49</vt:lpstr>
      <vt:lpstr>_29h_F50</vt:lpstr>
      <vt:lpstr>_29h_F51</vt:lpstr>
      <vt:lpstr>_29h_F53</vt:lpstr>
      <vt:lpstr>_29h_F54</vt:lpstr>
      <vt:lpstr>_29h_F55</vt:lpstr>
      <vt:lpstr>_29h_F56</vt:lpstr>
      <vt:lpstr>_29h_F57</vt:lpstr>
      <vt:lpstr>_29h_F58</vt:lpstr>
      <vt:lpstr>_29h_F59</vt:lpstr>
      <vt:lpstr>_29h_F60</vt:lpstr>
      <vt:lpstr>_29h_F61</vt:lpstr>
      <vt:lpstr>_29h_F62</vt:lpstr>
      <vt:lpstr>_29h_F64</vt:lpstr>
      <vt:lpstr>_29h_F65</vt:lpstr>
      <vt:lpstr>_29h_F7</vt:lpstr>
      <vt:lpstr>_29h_F8</vt:lpstr>
      <vt:lpstr>_29h_F9</vt:lpstr>
      <vt:lpstr>_30h_E10</vt:lpstr>
      <vt:lpstr>_30h_E11</vt:lpstr>
      <vt:lpstr>_30h_E12</vt:lpstr>
      <vt:lpstr>_30h_E13</vt:lpstr>
      <vt:lpstr>_30h_E14</vt:lpstr>
      <vt:lpstr>_30h_E15</vt:lpstr>
      <vt:lpstr>_30h_E16</vt:lpstr>
      <vt:lpstr>_30h_E17</vt:lpstr>
      <vt:lpstr>_30h_E18</vt:lpstr>
      <vt:lpstr>_30h_E19</vt:lpstr>
      <vt:lpstr>_30h_E20</vt:lpstr>
      <vt:lpstr>_30h_E21</vt:lpstr>
      <vt:lpstr>_30h_E22</vt:lpstr>
      <vt:lpstr>_30h_E23</vt:lpstr>
      <vt:lpstr>_30h_E24</vt:lpstr>
      <vt:lpstr>_30h_E25</vt:lpstr>
      <vt:lpstr>_30h_E26</vt:lpstr>
      <vt:lpstr>_30h_E27</vt:lpstr>
      <vt:lpstr>_30h_E28</vt:lpstr>
      <vt:lpstr>_30h_E29</vt:lpstr>
      <vt:lpstr>_30h_E30</vt:lpstr>
      <vt:lpstr>_30h_E31</vt:lpstr>
      <vt:lpstr>_30h_E32</vt:lpstr>
      <vt:lpstr>_30h_E33</vt:lpstr>
      <vt:lpstr>_30h_E34</vt:lpstr>
      <vt:lpstr>_30h_E35</vt:lpstr>
      <vt:lpstr>_30h_E36</vt:lpstr>
      <vt:lpstr>_30h_E37</vt:lpstr>
      <vt:lpstr>_30h_E38</vt:lpstr>
      <vt:lpstr>_30h_E39</vt:lpstr>
      <vt:lpstr>_30h_E40</vt:lpstr>
      <vt:lpstr>_30h_E41</vt:lpstr>
      <vt:lpstr>_30h_E42</vt:lpstr>
      <vt:lpstr>_30h_E43</vt:lpstr>
      <vt:lpstr>_30h_E44</vt:lpstr>
      <vt:lpstr>_30h_E45</vt:lpstr>
      <vt:lpstr>_30h_E46</vt:lpstr>
      <vt:lpstr>_30h_E47</vt:lpstr>
      <vt:lpstr>_30h_E48</vt:lpstr>
      <vt:lpstr>_30h_E49</vt:lpstr>
      <vt:lpstr>_30h_E50</vt:lpstr>
      <vt:lpstr>_30h_E51</vt:lpstr>
      <vt:lpstr>_30h_E53</vt:lpstr>
      <vt:lpstr>_30h_E54</vt:lpstr>
      <vt:lpstr>_30h_E55</vt:lpstr>
      <vt:lpstr>_30h_E56</vt:lpstr>
      <vt:lpstr>_30h_E57</vt:lpstr>
      <vt:lpstr>_30h_E58</vt:lpstr>
      <vt:lpstr>_30h_E59</vt:lpstr>
      <vt:lpstr>_30h_E60</vt:lpstr>
      <vt:lpstr>_30h_E61</vt:lpstr>
      <vt:lpstr>_30h_E62</vt:lpstr>
      <vt:lpstr>_30h_E64</vt:lpstr>
      <vt:lpstr>_30h_E65</vt:lpstr>
      <vt:lpstr>_30h_E7</vt:lpstr>
      <vt:lpstr>_30h_E8</vt:lpstr>
      <vt:lpstr>_30h_E9</vt:lpstr>
      <vt:lpstr>_30h_F10</vt:lpstr>
      <vt:lpstr>_30h_F11</vt:lpstr>
      <vt:lpstr>_30h_F12</vt:lpstr>
      <vt:lpstr>_30h_F13</vt:lpstr>
      <vt:lpstr>_30h_F14</vt:lpstr>
      <vt:lpstr>_30h_F15</vt:lpstr>
      <vt:lpstr>_30h_F16</vt:lpstr>
      <vt:lpstr>_30h_F17</vt:lpstr>
      <vt:lpstr>_30h_F18</vt:lpstr>
      <vt:lpstr>_30h_F19</vt:lpstr>
      <vt:lpstr>_30h_F20</vt:lpstr>
      <vt:lpstr>_30h_F21</vt:lpstr>
      <vt:lpstr>_30h_F22</vt:lpstr>
      <vt:lpstr>_30h_F23</vt:lpstr>
      <vt:lpstr>_30h_F24</vt:lpstr>
      <vt:lpstr>_30h_F25</vt:lpstr>
      <vt:lpstr>_30h_F26</vt:lpstr>
      <vt:lpstr>_30h_F27</vt:lpstr>
      <vt:lpstr>_30h_F28</vt:lpstr>
      <vt:lpstr>_30h_F29</vt:lpstr>
      <vt:lpstr>_30h_F30</vt:lpstr>
      <vt:lpstr>_30h_F31</vt:lpstr>
      <vt:lpstr>_30h_F32</vt:lpstr>
      <vt:lpstr>_30h_F33</vt:lpstr>
      <vt:lpstr>_30h_F34</vt:lpstr>
      <vt:lpstr>_30h_F35</vt:lpstr>
      <vt:lpstr>_30h_F36</vt:lpstr>
      <vt:lpstr>_30h_F37</vt:lpstr>
      <vt:lpstr>_30h_F38</vt:lpstr>
      <vt:lpstr>_30h_F39</vt:lpstr>
      <vt:lpstr>_30h_F40</vt:lpstr>
      <vt:lpstr>_30h_F41</vt:lpstr>
      <vt:lpstr>_30h_F42</vt:lpstr>
      <vt:lpstr>_30h_F43</vt:lpstr>
      <vt:lpstr>_30h_F44</vt:lpstr>
      <vt:lpstr>_30h_F45</vt:lpstr>
      <vt:lpstr>_30h_F46</vt:lpstr>
      <vt:lpstr>_30h_F47</vt:lpstr>
      <vt:lpstr>_30h_F48</vt:lpstr>
      <vt:lpstr>_30h_F49</vt:lpstr>
      <vt:lpstr>_30h_F50</vt:lpstr>
      <vt:lpstr>_30h_F51</vt:lpstr>
      <vt:lpstr>_30h_F53</vt:lpstr>
      <vt:lpstr>_30h_F54</vt:lpstr>
      <vt:lpstr>_30h_F55</vt:lpstr>
      <vt:lpstr>_30h_F56</vt:lpstr>
      <vt:lpstr>_30h_F57</vt:lpstr>
      <vt:lpstr>_30h_F58</vt:lpstr>
      <vt:lpstr>_30h_F59</vt:lpstr>
      <vt:lpstr>_30h_F60</vt:lpstr>
      <vt:lpstr>_30h_F61</vt:lpstr>
      <vt:lpstr>_30h_F62</vt:lpstr>
      <vt:lpstr>_30h_F64</vt:lpstr>
      <vt:lpstr>_30h_F65</vt:lpstr>
      <vt:lpstr>_30h_F7</vt:lpstr>
      <vt:lpstr>_30h_F8</vt:lpstr>
      <vt:lpstr>_30h_F9</vt:lpstr>
      <vt:lpstr>_31h_E10</vt:lpstr>
      <vt:lpstr>_31h_E11</vt:lpstr>
      <vt:lpstr>_31h_E12</vt:lpstr>
      <vt:lpstr>_31h_E13</vt:lpstr>
      <vt:lpstr>_31h_E14</vt:lpstr>
      <vt:lpstr>_31h_E15</vt:lpstr>
      <vt:lpstr>_31h_E16</vt:lpstr>
      <vt:lpstr>_31h_E17</vt:lpstr>
      <vt:lpstr>_31h_E18</vt:lpstr>
      <vt:lpstr>_31h_E19</vt:lpstr>
      <vt:lpstr>_31h_E20</vt:lpstr>
      <vt:lpstr>_31h_E21</vt:lpstr>
      <vt:lpstr>_31h_E22</vt:lpstr>
      <vt:lpstr>_31h_E23</vt:lpstr>
      <vt:lpstr>_31h_E24</vt:lpstr>
      <vt:lpstr>_31h_E25</vt:lpstr>
      <vt:lpstr>_31h_E26</vt:lpstr>
      <vt:lpstr>_31h_E27</vt:lpstr>
      <vt:lpstr>_31h_E28</vt:lpstr>
      <vt:lpstr>_31h_E29</vt:lpstr>
      <vt:lpstr>_31h_E30</vt:lpstr>
      <vt:lpstr>_31h_E31</vt:lpstr>
      <vt:lpstr>_31h_E32</vt:lpstr>
      <vt:lpstr>_31h_E33</vt:lpstr>
      <vt:lpstr>_31h_E34</vt:lpstr>
      <vt:lpstr>_31h_E35</vt:lpstr>
      <vt:lpstr>_31h_E36</vt:lpstr>
      <vt:lpstr>_31h_E37</vt:lpstr>
      <vt:lpstr>_31h_E38</vt:lpstr>
      <vt:lpstr>_31h_E39</vt:lpstr>
      <vt:lpstr>_31h_E40</vt:lpstr>
      <vt:lpstr>_31h_E41</vt:lpstr>
      <vt:lpstr>_31h_E42</vt:lpstr>
      <vt:lpstr>_31h_E43</vt:lpstr>
      <vt:lpstr>_31h_E44</vt:lpstr>
      <vt:lpstr>_31h_E45</vt:lpstr>
      <vt:lpstr>_31h_E46</vt:lpstr>
      <vt:lpstr>_31h_E47</vt:lpstr>
      <vt:lpstr>_31h_E48</vt:lpstr>
      <vt:lpstr>_31h_E49</vt:lpstr>
      <vt:lpstr>_31h_E50</vt:lpstr>
      <vt:lpstr>_31h_E51</vt:lpstr>
      <vt:lpstr>_31h_E53</vt:lpstr>
      <vt:lpstr>_31h_E54</vt:lpstr>
      <vt:lpstr>_31h_E55</vt:lpstr>
      <vt:lpstr>_31h_E56</vt:lpstr>
      <vt:lpstr>_31h_E57</vt:lpstr>
      <vt:lpstr>_31h_E58</vt:lpstr>
      <vt:lpstr>_31h_E59</vt:lpstr>
      <vt:lpstr>_31h_E60</vt:lpstr>
      <vt:lpstr>_31h_E61</vt:lpstr>
      <vt:lpstr>_31h_E62</vt:lpstr>
      <vt:lpstr>_31h_E64</vt:lpstr>
      <vt:lpstr>_31h_E65</vt:lpstr>
      <vt:lpstr>_31h_E7</vt:lpstr>
      <vt:lpstr>_31h_E8</vt:lpstr>
      <vt:lpstr>_31h_E9</vt:lpstr>
      <vt:lpstr>_31h_F10</vt:lpstr>
      <vt:lpstr>_31h_F11</vt:lpstr>
      <vt:lpstr>_31h_F12</vt:lpstr>
      <vt:lpstr>_31h_F13</vt:lpstr>
      <vt:lpstr>_31h_F14</vt:lpstr>
      <vt:lpstr>_31h_F15</vt:lpstr>
      <vt:lpstr>_31h_F16</vt:lpstr>
      <vt:lpstr>_31h_F17</vt:lpstr>
      <vt:lpstr>_31h_F18</vt:lpstr>
      <vt:lpstr>_31h_F19</vt:lpstr>
      <vt:lpstr>_31h_F20</vt:lpstr>
      <vt:lpstr>_31h_F21</vt:lpstr>
      <vt:lpstr>_31h_F22</vt:lpstr>
      <vt:lpstr>_31h_F23</vt:lpstr>
      <vt:lpstr>_31h_F24</vt:lpstr>
      <vt:lpstr>_31h_F25</vt:lpstr>
      <vt:lpstr>_31h_F26</vt:lpstr>
      <vt:lpstr>_31h_F27</vt:lpstr>
      <vt:lpstr>_31h_F28</vt:lpstr>
      <vt:lpstr>_31h_F29</vt:lpstr>
      <vt:lpstr>_31h_F30</vt:lpstr>
      <vt:lpstr>_31h_F31</vt:lpstr>
      <vt:lpstr>_31h_F32</vt:lpstr>
      <vt:lpstr>_31h_F33</vt:lpstr>
      <vt:lpstr>_31h_F34</vt:lpstr>
      <vt:lpstr>_31h_F35</vt:lpstr>
      <vt:lpstr>_31h_F36</vt:lpstr>
      <vt:lpstr>_31h_F37</vt:lpstr>
      <vt:lpstr>_31h_F38</vt:lpstr>
      <vt:lpstr>_31h_F39</vt:lpstr>
      <vt:lpstr>_31h_F40</vt:lpstr>
      <vt:lpstr>_31h_F41</vt:lpstr>
      <vt:lpstr>_31h_F42</vt:lpstr>
      <vt:lpstr>_31h_F43</vt:lpstr>
      <vt:lpstr>_31h_F44</vt:lpstr>
      <vt:lpstr>_31h_F45</vt:lpstr>
      <vt:lpstr>_31h_F46</vt:lpstr>
      <vt:lpstr>_31h_F47</vt:lpstr>
      <vt:lpstr>_31h_F48</vt:lpstr>
      <vt:lpstr>_31h_F49</vt:lpstr>
      <vt:lpstr>_31h_F50</vt:lpstr>
      <vt:lpstr>_31h_F51</vt:lpstr>
      <vt:lpstr>_31h_F53</vt:lpstr>
      <vt:lpstr>_31h_F54</vt:lpstr>
      <vt:lpstr>_31h_F55</vt:lpstr>
      <vt:lpstr>_31h_F56</vt:lpstr>
      <vt:lpstr>_31h_F57</vt:lpstr>
      <vt:lpstr>_31h_F58</vt:lpstr>
      <vt:lpstr>_31h_F59</vt:lpstr>
      <vt:lpstr>_31h_F60</vt:lpstr>
      <vt:lpstr>_31h_F61</vt:lpstr>
      <vt:lpstr>_31h_F62</vt:lpstr>
      <vt:lpstr>_31h_F64</vt:lpstr>
      <vt:lpstr>_31h_F65</vt:lpstr>
      <vt:lpstr>_31h_F7</vt:lpstr>
      <vt:lpstr>_31h_F8</vt:lpstr>
      <vt:lpstr>_31h_F9</vt:lpstr>
      <vt:lpstr>_32h_E10</vt:lpstr>
      <vt:lpstr>_32h_E11</vt:lpstr>
      <vt:lpstr>_32h_E12</vt:lpstr>
      <vt:lpstr>_32h_E13</vt:lpstr>
      <vt:lpstr>_32h_E14</vt:lpstr>
      <vt:lpstr>_32h_E15</vt:lpstr>
      <vt:lpstr>_32h_E16</vt:lpstr>
      <vt:lpstr>_32h_E17</vt:lpstr>
      <vt:lpstr>_32h_E18</vt:lpstr>
      <vt:lpstr>_32h_E19</vt:lpstr>
      <vt:lpstr>_32h_E20</vt:lpstr>
      <vt:lpstr>_32h_E21</vt:lpstr>
      <vt:lpstr>_32h_E22</vt:lpstr>
      <vt:lpstr>_32h_E23</vt:lpstr>
      <vt:lpstr>_32h_E24</vt:lpstr>
      <vt:lpstr>_32h_E25</vt:lpstr>
      <vt:lpstr>_32h_E26</vt:lpstr>
      <vt:lpstr>_32h_E27</vt:lpstr>
      <vt:lpstr>_32h_E28</vt:lpstr>
      <vt:lpstr>_32h_E29</vt:lpstr>
      <vt:lpstr>_32h_E30</vt:lpstr>
      <vt:lpstr>_32h_E31</vt:lpstr>
      <vt:lpstr>_32h_E32</vt:lpstr>
      <vt:lpstr>_32h_E33</vt:lpstr>
      <vt:lpstr>_32h_E34</vt:lpstr>
      <vt:lpstr>_32h_E35</vt:lpstr>
      <vt:lpstr>_32h_E36</vt:lpstr>
      <vt:lpstr>_32h_E37</vt:lpstr>
      <vt:lpstr>_32h_E38</vt:lpstr>
      <vt:lpstr>_32h_E39</vt:lpstr>
      <vt:lpstr>_32h_E40</vt:lpstr>
      <vt:lpstr>_32h_E41</vt:lpstr>
      <vt:lpstr>_32h_E42</vt:lpstr>
      <vt:lpstr>_32h_E43</vt:lpstr>
      <vt:lpstr>_32h_E44</vt:lpstr>
      <vt:lpstr>_32h_E45</vt:lpstr>
      <vt:lpstr>_32h_E46</vt:lpstr>
      <vt:lpstr>_32h_E47</vt:lpstr>
      <vt:lpstr>_32h_E48</vt:lpstr>
      <vt:lpstr>_32h_E49</vt:lpstr>
      <vt:lpstr>_32h_E50</vt:lpstr>
      <vt:lpstr>_32h_E51</vt:lpstr>
      <vt:lpstr>_32h_E53</vt:lpstr>
      <vt:lpstr>_32h_E54</vt:lpstr>
      <vt:lpstr>_32h_E55</vt:lpstr>
      <vt:lpstr>_32h_E56</vt:lpstr>
      <vt:lpstr>_32h_E57</vt:lpstr>
      <vt:lpstr>_32h_E58</vt:lpstr>
      <vt:lpstr>_32h_E59</vt:lpstr>
      <vt:lpstr>_32h_E60</vt:lpstr>
      <vt:lpstr>_32h_E61</vt:lpstr>
      <vt:lpstr>_32h_E62</vt:lpstr>
      <vt:lpstr>_32h_E64</vt:lpstr>
      <vt:lpstr>_32h_E65</vt:lpstr>
      <vt:lpstr>_32h_E7</vt:lpstr>
      <vt:lpstr>_32h_E8</vt:lpstr>
      <vt:lpstr>_32h_E9</vt:lpstr>
      <vt:lpstr>_32h_F10</vt:lpstr>
      <vt:lpstr>_32h_F11</vt:lpstr>
      <vt:lpstr>_32h_F12</vt:lpstr>
      <vt:lpstr>_32h_F13</vt:lpstr>
      <vt:lpstr>_32h_F14</vt:lpstr>
      <vt:lpstr>_32h_F15</vt:lpstr>
      <vt:lpstr>_32h_F16</vt:lpstr>
      <vt:lpstr>_32h_F17</vt:lpstr>
      <vt:lpstr>_32h_F18</vt:lpstr>
      <vt:lpstr>_32h_F19</vt:lpstr>
      <vt:lpstr>_32h_F20</vt:lpstr>
      <vt:lpstr>_32h_F21</vt:lpstr>
      <vt:lpstr>_32h_F22</vt:lpstr>
      <vt:lpstr>_32h_F23</vt:lpstr>
      <vt:lpstr>_32h_F24</vt:lpstr>
      <vt:lpstr>_32h_F25</vt:lpstr>
      <vt:lpstr>_32h_F26</vt:lpstr>
      <vt:lpstr>_32h_F27</vt:lpstr>
      <vt:lpstr>_32h_F28</vt:lpstr>
      <vt:lpstr>_32h_F29</vt:lpstr>
      <vt:lpstr>_32h_F30</vt:lpstr>
      <vt:lpstr>_32h_F31</vt:lpstr>
      <vt:lpstr>_32h_F32</vt:lpstr>
      <vt:lpstr>_32h_F33</vt:lpstr>
      <vt:lpstr>_32h_F34</vt:lpstr>
      <vt:lpstr>_32h_F35</vt:lpstr>
      <vt:lpstr>_32h_F36</vt:lpstr>
      <vt:lpstr>_32h_F37</vt:lpstr>
      <vt:lpstr>_32h_F38</vt:lpstr>
      <vt:lpstr>_32h_F39</vt:lpstr>
      <vt:lpstr>_32h_F40</vt:lpstr>
      <vt:lpstr>_32h_F41</vt:lpstr>
      <vt:lpstr>_32h_F42</vt:lpstr>
      <vt:lpstr>_32h_F43</vt:lpstr>
      <vt:lpstr>_32h_F44</vt:lpstr>
      <vt:lpstr>_32h_F45</vt:lpstr>
      <vt:lpstr>_32h_F46</vt:lpstr>
      <vt:lpstr>_32h_F47</vt:lpstr>
      <vt:lpstr>_32h_F48</vt:lpstr>
      <vt:lpstr>_32h_F49</vt:lpstr>
      <vt:lpstr>_32h_F50</vt:lpstr>
      <vt:lpstr>_32h_F51</vt:lpstr>
      <vt:lpstr>_32h_F53</vt:lpstr>
      <vt:lpstr>_32h_F54</vt:lpstr>
      <vt:lpstr>_32h_F55</vt:lpstr>
      <vt:lpstr>_32h_F56</vt:lpstr>
      <vt:lpstr>_32h_F57</vt:lpstr>
      <vt:lpstr>_32h_F58</vt:lpstr>
      <vt:lpstr>_32h_F59</vt:lpstr>
      <vt:lpstr>_32h_F60</vt:lpstr>
      <vt:lpstr>_32h_F61</vt:lpstr>
      <vt:lpstr>_32h_F62</vt:lpstr>
      <vt:lpstr>_32h_F64</vt:lpstr>
      <vt:lpstr>_32h_F65</vt:lpstr>
      <vt:lpstr>_32h_F7</vt:lpstr>
      <vt:lpstr>_32h_F8</vt:lpstr>
      <vt:lpstr>_32h_F9</vt:lpstr>
      <vt:lpstr>_33h_E10</vt:lpstr>
      <vt:lpstr>_33h_E11</vt:lpstr>
      <vt:lpstr>_33h_E12</vt:lpstr>
      <vt:lpstr>_33h_E13</vt:lpstr>
      <vt:lpstr>_33h_E14</vt:lpstr>
      <vt:lpstr>_33h_E15</vt:lpstr>
      <vt:lpstr>_33h_E16</vt:lpstr>
      <vt:lpstr>_33h_E17</vt:lpstr>
      <vt:lpstr>_33h_E18</vt:lpstr>
      <vt:lpstr>_33h_E19</vt:lpstr>
      <vt:lpstr>_33h_E20</vt:lpstr>
      <vt:lpstr>_33h_E21</vt:lpstr>
      <vt:lpstr>_33h_E22</vt:lpstr>
      <vt:lpstr>_33h_E23</vt:lpstr>
      <vt:lpstr>_33h_E24</vt:lpstr>
      <vt:lpstr>_33h_E25</vt:lpstr>
      <vt:lpstr>_33h_E26</vt:lpstr>
      <vt:lpstr>_33h_E27</vt:lpstr>
      <vt:lpstr>_33h_E28</vt:lpstr>
      <vt:lpstr>_33h_E29</vt:lpstr>
      <vt:lpstr>_33h_E30</vt:lpstr>
      <vt:lpstr>_33h_E31</vt:lpstr>
      <vt:lpstr>_33h_E32</vt:lpstr>
      <vt:lpstr>_33h_E33</vt:lpstr>
      <vt:lpstr>_33h_E34</vt:lpstr>
      <vt:lpstr>_33h_E35</vt:lpstr>
      <vt:lpstr>_33h_E36</vt:lpstr>
      <vt:lpstr>_33h_E37</vt:lpstr>
      <vt:lpstr>_33h_E38</vt:lpstr>
      <vt:lpstr>_33h_E39</vt:lpstr>
      <vt:lpstr>_33h_E40</vt:lpstr>
      <vt:lpstr>_33h_E41</vt:lpstr>
      <vt:lpstr>_33h_E42</vt:lpstr>
      <vt:lpstr>_33h_E43</vt:lpstr>
      <vt:lpstr>_33h_E44</vt:lpstr>
      <vt:lpstr>_33h_E45</vt:lpstr>
      <vt:lpstr>_33h_E46</vt:lpstr>
      <vt:lpstr>_33h_E47</vt:lpstr>
      <vt:lpstr>_33h_E48</vt:lpstr>
      <vt:lpstr>_33h_E49</vt:lpstr>
      <vt:lpstr>_33h_E50</vt:lpstr>
      <vt:lpstr>_33h_E51</vt:lpstr>
      <vt:lpstr>_33h_E53</vt:lpstr>
      <vt:lpstr>_33h_E54</vt:lpstr>
      <vt:lpstr>_33h_E55</vt:lpstr>
      <vt:lpstr>_33h_E56</vt:lpstr>
      <vt:lpstr>_33h_E57</vt:lpstr>
      <vt:lpstr>_33h_E58</vt:lpstr>
      <vt:lpstr>_33h_E59</vt:lpstr>
      <vt:lpstr>_33h_E60</vt:lpstr>
      <vt:lpstr>_33h_E61</vt:lpstr>
      <vt:lpstr>_33h_E62</vt:lpstr>
      <vt:lpstr>_33h_E64</vt:lpstr>
      <vt:lpstr>_33h_E65</vt:lpstr>
      <vt:lpstr>_33h_E7</vt:lpstr>
      <vt:lpstr>_33h_E8</vt:lpstr>
      <vt:lpstr>_33h_E9</vt:lpstr>
      <vt:lpstr>_33h_F10</vt:lpstr>
      <vt:lpstr>_33h_F11</vt:lpstr>
      <vt:lpstr>_33h_F12</vt:lpstr>
      <vt:lpstr>_33h_F13</vt:lpstr>
      <vt:lpstr>_33h_F14</vt:lpstr>
      <vt:lpstr>_33h_F15</vt:lpstr>
      <vt:lpstr>_33h_F16</vt:lpstr>
      <vt:lpstr>_33h_F17</vt:lpstr>
      <vt:lpstr>_33h_F18</vt:lpstr>
      <vt:lpstr>_33h_F19</vt:lpstr>
      <vt:lpstr>_33h_F20</vt:lpstr>
      <vt:lpstr>_33h_F21</vt:lpstr>
      <vt:lpstr>_33h_F22</vt:lpstr>
      <vt:lpstr>_33h_F23</vt:lpstr>
      <vt:lpstr>_33h_F24</vt:lpstr>
      <vt:lpstr>_33h_F25</vt:lpstr>
      <vt:lpstr>_33h_F26</vt:lpstr>
      <vt:lpstr>_33h_F27</vt:lpstr>
      <vt:lpstr>_33h_F28</vt:lpstr>
      <vt:lpstr>_33h_F29</vt:lpstr>
      <vt:lpstr>_33h_F30</vt:lpstr>
      <vt:lpstr>_33h_F31</vt:lpstr>
      <vt:lpstr>_33h_F32</vt:lpstr>
      <vt:lpstr>_33h_F33</vt:lpstr>
      <vt:lpstr>_33h_F34</vt:lpstr>
      <vt:lpstr>_33h_F35</vt:lpstr>
      <vt:lpstr>_33h_F36</vt:lpstr>
      <vt:lpstr>_33h_F37</vt:lpstr>
      <vt:lpstr>_33h_F38</vt:lpstr>
      <vt:lpstr>_33h_F39</vt:lpstr>
      <vt:lpstr>_33h_F40</vt:lpstr>
      <vt:lpstr>_33h_F41</vt:lpstr>
      <vt:lpstr>_33h_F42</vt:lpstr>
      <vt:lpstr>_33h_F43</vt:lpstr>
      <vt:lpstr>_33h_F44</vt:lpstr>
      <vt:lpstr>_33h_F45</vt:lpstr>
      <vt:lpstr>_33h_F46</vt:lpstr>
      <vt:lpstr>_33h_F47</vt:lpstr>
      <vt:lpstr>_33h_F48</vt:lpstr>
      <vt:lpstr>_33h_F49</vt:lpstr>
      <vt:lpstr>_33h_F50</vt:lpstr>
      <vt:lpstr>_33h_F51</vt:lpstr>
      <vt:lpstr>_33h_F53</vt:lpstr>
      <vt:lpstr>_33h_F54</vt:lpstr>
      <vt:lpstr>_33h_F55</vt:lpstr>
      <vt:lpstr>_33h_F56</vt:lpstr>
      <vt:lpstr>_33h_F57</vt:lpstr>
      <vt:lpstr>_33h_F58</vt:lpstr>
      <vt:lpstr>_33h_F59</vt:lpstr>
      <vt:lpstr>_33h_F60</vt:lpstr>
      <vt:lpstr>_33h_F61</vt:lpstr>
      <vt:lpstr>_33h_F62</vt:lpstr>
      <vt:lpstr>_33h_F64</vt:lpstr>
      <vt:lpstr>_33h_F65</vt:lpstr>
      <vt:lpstr>_33h_F7</vt:lpstr>
      <vt:lpstr>_33h_F8</vt:lpstr>
      <vt:lpstr>_33h_F9</vt:lpstr>
      <vt:lpstr>_34h_E10</vt:lpstr>
      <vt:lpstr>_34h_E11</vt:lpstr>
      <vt:lpstr>_34h_E12</vt:lpstr>
      <vt:lpstr>_34h_E13</vt:lpstr>
      <vt:lpstr>_34h_E14</vt:lpstr>
      <vt:lpstr>_34h_E15</vt:lpstr>
      <vt:lpstr>_34h_E16</vt:lpstr>
      <vt:lpstr>_34h_E17</vt:lpstr>
      <vt:lpstr>_34h_E18</vt:lpstr>
      <vt:lpstr>_34h_E19</vt:lpstr>
      <vt:lpstr>_34h_E20</vt:lpstr>
      <vt:lpstr>_34h_E21</vt:lpstr>
      <vt:lpstr>_34h_E22</vt:lpstr>
      <vt:lpstr>_34h_E23</vt:lpstr>
      <vt:lpstr>_34h_E24</vt:lpstr>
      <vt:lpstr>_34h_E25</vt:lpstr>
      <vt:lpstr>_34h_E26</vt:lpstr>
      <vt:lpstr>_34h_E27</vt:lpstr>
      <vt:lpstr>_34h_E28</vt:lpstr>
      <vt:lpstr>_34h_E29</vt:lpstr>
      <vt:lpstr>_34h_E30</vt:lpstr>
      <vt:lpstr>_34h_E31</vt:lpstr>
      <vt:lpstr>_34h_E32</vt:lpstr>
      <vt:lpstr>_34h_E33</vt:lpstr>
      <vt:lpstr>_34h_E34</vt:lpstr>
      <vt:lpstr>_34h_E35</vt:lpstr>
      <vt:lpstr>_34h_E36</vt:lpstr>
      <vt:lpstr>_34h_E37</vt:lpstr>
      <vt:lpstr>_34h_E38</vt:lpstr>
      <vt:lpstr>_34h_E39</vt:lpstr>
      <vt:lpstr>_34h_E40</vt:lpstr>
      <vt:lpstr>_34h_E41</vt:lpstr>
      <vt:lpstr>_34h_E42</vt:lpstr>
      <vt:lpstr>_34h_E43</vt:lpstr>
      <vt:lpstr>_34h_E44</vt:lpstr>
      <vt:lpstr>_34h_E45</vt:lpstr>
      <vt:lpstr>_34h_E46</vt:lpstr>
      <vt:lpstr>_34h_E47</vt:lpstr>
      <vt:lpstr>_34h_E48</vt:lpstr>
      <vt:lpstr>_34h_E49</vt:lpstr>
      <vt:lpstr>_34h_E50</vt:lpstr>
      <vt:lpstr>_34h_E51</vt:lpstr>
      <vt:lpstr>_34h_E53</vt:lpstr>
      <vt:lpstr>_34h_E54</vt:lpstr>
      <vt:lpstr>_34h_E55</vt:lpstr>
      <vt:lpstr>_34h_E56</vt:lpstr>
      <vt:lpstr>_34h_E57</vt:lpstr>
      <vt:lpstr>_34h_E58</vt:lpstr>
      <vt:lpstr>_34h_E59</vt:lpstr>
      <vt:lpstr>_34h_E60</vt:lpstr>
      <vt:lpstr>_34h_E61</vt:lpstr>
      <vt:lpstr>_34h_E62</vt:lpstr>
      <vt:lpstr>_34h_E64</vt:lpstr>
      <vt:lpstr>_34h_E65</vt:lpstr>
      <vt:lpstr>_34h_E7</vt:lpstr>
      <vt:lpstr>_34h_E8</vt:lpstr>
      <vt:lpstr>_34h_E9</vt:lpstr>
      <vt:lpstr>_34h_F10</vt:lpstr>
      <vt:lpstr>_34h_F11</vt:lpstr>
      <vt:lpstr>_34h_F12</vt:lpstr>
      <vt:lpstr>_34h_F13</vt:lpstr>
      <vt:lpstr>_34h_F14</vt:lpstr>
      <vt:lpstr>_34h_F15</vt:lpstr>
      <vt:lpstr>_34h_F16</vt:lpstr>
      <vt:lpstr>_34h_F17</vt:lpstr>
      <vt:lpstr>_34h_F18</vt:lpstr>
      <vt:lpstr>_34h_F19</vt:lpstr>
      <vt:lpstr>_34h_F20</vt:lpstr>
      <vt:lpstr>_34h_F21</vt:lpstr>
      <vt:lpstr>_34h_F22</vt:lpstr>
      <vt:lpstr>_34h_F23</vt:lpstr>
      <vt:lpstr>_34h_F24</vt:lpstr>
      <vt:lpstr>_34h_F25</vt:lpstr>
      <vt:lpstr>_34h_F26</vt:lpstr>
      <vt:lpstr>_34h_F27</vt:lpstr>
      <vt:lpstr>_34h_F28</vt:lpstr>
      <vt:lpstr>_34h_F29</vt:lpstr>
      <vt:lpstr>_34h_F30</vt:lpstr>
      <vt:lpstr>_34h_F31</vt:lpstr>
      <vt:lpstr>_34h_F32</vt:lpstr>
      <vt:lpstr>_34h_F33</vt:lpstr>
      <vt:lpstr>_34h_F34</vt:lpstr>
      <vt:lpstr>_34h_F35</vt:lpstr>
      <vt:lpstr>_34h_F36</vt:lpstr>
      <vt:lpstr>_34h_F37</vt:lpstr>
      <vt:lpstr>_34h_F38</vt:lpstr>
      <vt:lpstr>_34h_F39</vt:lpstr>
      <vt:lpstr>_34h_F40</vt:lpstr>
      <vt:lpstr>_34h_F41</vt:lpstr>
      <vt:lpstr>_34h_F42</vt:lpstr>
      <vt:lpstr>_34h_F43</vt:lpstr>
      <vt:lpstr>_34h_F44</vt:lpstr>
      <vt:lpstr>_34h_F45</vt:lpstr>
      <vt:lpstr>_34h_F46</vt:lpstr>
      <vt:lpstr>_34h_F47</vt:lpstr>
      <vt:lpstr>_34h_F48</vt:lpstr>
      <vt:lpstr>_34h_F49</vt:lpstr>
      <vt:lpstr>_34h_F50</vt:lpstr>
      <vt:lpstr>_34h_F51</vt:lpstr>
      <vt:lpstr>_34h_F53</vt:lpstr>
      <vt:lpstr>_34h_F54</vt:lpstr>
      <vt:lpstr>_34h_F55</vt:lpstr>
      <vt:lpstr>_34h_F56</vt:lpstr>
      <vt:lpstr>_34h_F57</vt:lpstr>
      <vt:lpstr>_34h_F58</vt:lpstr>
      <vt:lpstr>_34h_F59</vt:lpstr>
      <vt:lpstr>_34h_F60</vt:lpstr>
      <vt:lpstr>_34h_F61</vt:lpstr>
      <vt:lpstr>_34h_F62</vt:lpstr>
      <vt:lpstr>_34h_F64</vt:lpstr>
      <vt:lpstr>_34h_F65</vt:lpstr>
      <vt:lpstr>_34h_F7</vt:lpstr>
      <vt:lpstr>_34h_F8</vt:lpstr>
      <vt:lpstr>_34h_F9</vt:lpstr>
      <vt:lpstr>_35h_E10</vt:lpstr>
      <vt:lpstr>_35h_E11</vt:lpstr>
      <vt:lpstr>_35h_E12</vt:lpstr>
      <vt:lpstr>_35h_E13</vt:lpstr>
      <vt:lpstr>_35h_E14</vt:lpstr>
      <vt:lpstr>_35h_E15</vt:lpstr>
      <vt:lpstr>_35h_E16</vt:lpstr>
      <vt:lpstr>_35h_E17</vt:lpstr>
      <vt:lpstr>_35h_E18</vt:lpstr>
      <vt:lpstr>_35h_E19</vt:lpstr>
      <vt:lpstr>_35h_E20</vt:lpstr>
      <vt:lpstr>_35h_E21</vt:lpstr>
      <vt:lpstr>_35h_E22</vt:lpstr>
      <vt:lpstr>_35h_E23</vt:lpstr>
      <vt:lpstr>_35h_E24</vt:lpstr>
      <vt:lpstr>_35h_E25</vt:lpstr>
      <vt:lpstr>_35h_E26</vt:lpstr>
      <vt:lpstr>_35h_E27</vt:lpstr>
      <vt:lpstr>_35h_E28</vt:lpstr>
      <vt:lpstr>_35h_E29</vt:lpstr>
      <vt:lpstr>_35h_E30</vt:lpstr>
      <vt:lpstr>_35h_E31</vt:lpstr>
      <vt:lpstr>_35h_E32</vt:lpstr>
      <vt:lpstr>_35h_E33</vt:lpstr>
      <vt:lpstr>_35h_E34</vt:lpstr>
      <vt:lpstr>_35h_E35</vt:lpstr>
      <vt:lpstr>_35h_E36</vt:lpstr>
      <vt:lpstr>_35h_E37</vt:lpstr>
      <vt:lpstr>_35h_E38</vt:lpstr>
      <vt:lpstr>_35h_E39</vt:lpstr>
      <vt:lpstr>_35h_E40</vt:lpstr>
      <vt:lpstr>_35h_E41</vt:lpstr>
      <vt:lpstr>_35h_E42</vt:lpstr>
      <vt:lpstr>_35h_E43</vt:lpstr>
      <vt:lpstr>_35h_E44</vt:lpstr>
      <vt:lpstr>_35h_E45</vt:lpstr>
      <vt:lpstr>_35h_E46</vt:lpstr>
      <vt:lpstr>_35h_E47</vt:lpstr>
      <vt:lpstr>_35h_E48</vt:lpstr>
      <vt:lpstr>_35h_E49</vt:lpstr>
      <vt:lpstr>_35h_E50</vt:lpstr>
      <vt:lpstr>_35h_E51</vt:lpstr>
      <vt:lpstr>_35h_E53</vt:lpstr>
      <vt:lpstr>_35h_E54</vt:lpstr>
      <vt:lpstr>_35h_E55</vt:lpstr>
      <vt:lpstr>_35h_E56</vt:lpstr>
      <vt:lpstr>_35h_E57</vt:lpstr>
      <vt:lpstr>_35h_E58</vt:lpstr>
      <vt:lpstr>_35h_E59</vt:lpstr>
      <vt:lpstr>_35h_E60</vt:lpstr>
      <vt:lpstr>_35h_E61</vt:lpstr>
      <vt:lpstr>_35h_E62</vt:lpstr>
      <vt:lpstr>_35h_E64</vt:lpstr>
      <vt:lpstr>_35h_E65</vt:lpstr>
      <vt:lpstr>_35h_E7</vt:lpstr>
      <vt:lpstr>_35h_E8</vt:lpstr>
      <vt:lpstr>_35h_E9</vt:lpstr>
      <vt:lpstr>_35h_F10</vt:lpstr>
      <vt:lpstr>_35h_F11</vt:lpstr>
      <vt:lpstr>_35h_F12</vt:lpstr>
      <vt:lpstr>_35h_F13</vt:lpstr>
      <vt:lpstr>_35h_F14</vt:lpstr>
      <vt:lpstr>_35h_F15</vt:lpstr>
      <vt:lpstr>_35h_F16</vt:lpstr>
      <vt:lpstr>_35h_F17</vt:lpstr>
      <vt:lpstr>_35h_F18</vt:lpstr>
      <vt:lpstr>_35h_F19</vt:lpstr>
      <vt:lpstr>_35h_F20</vt:lpstr>
      <vt:lpstr>_35h_F21</vt:lpstr>
      <vt:lpstr>_35h_F22</vt:lpstr>
      <vt:lpstr>_35h_F23</vt:lpstr>
      <vt:lpstr>_35h_F24</vt:lpstr>
      <vt:lpstr>_35h_F25</vt:lpstr>
      <vt:lpstr>_35h_F26</vt:lpstr>
      <vt:lpstr>_35h_F27</vt:lpstr>
      <vt:lpstr>_35h_F28</vt:lpstr>
      <vt:lpstr>_35h_F29</vt:lpstr>
      <vt:lpstr>_35h_F30</vt:lpstr>
      <vt:lpstr>_35h_F31</vt:lpstr>
      <vt:lpstr>_35h_F32</vt:lpstr>
      <vt:lpstr>_35h_F33</vt:lpstr>
      <vt:lpstr>_35h_F34</vt:lpstr>
      <vt:lpstr>_35h_F35</vt:lpstr>
      <vt:lpstr>_35h_F36</vt:lpstr>
      <vt:lpstr>_35h_F37</vt:lpstr>
      <vt:lpstr>_35h_F38</vt:lpstr>
      <vt:lpstr>_35h_F39</vt:lpstr>
      <vt:lpstr>_35h_F40</vt:lpstr>
      <vt:lpstr>_35h_F41</vt:lpstr>
      <vt:lpstr>_35h_F42</vt:lpstr>
      <vt:lpstr>_35h_F43</vt:lpstr>
      <vt:lpstr>_35h_F44</vt:lpstr>
      <vt:lpstr>_35h_F45</vt:lpstr>
      <vt:lpstr>_35h_F46</vt:lpstr>
      <vt:lpstr>_35h_F47</vt:lpstr>
      <vt:lpstr>_35h_F48</vt:lpstr>
      <vt:lpstr>_35h_F49</vt:lpstr>
      <vt:lpstr>_35h_F50</vt:lpstr>
      <vt:lpstr>_35h_F51</vt:lpstr>
      <vt:lpstr>_35h_F53</vt:lpstr>
      <vt:lpstr>_35h_F54</vt:lpstr>
      <vt:lpstr>_35h_F55</vt:lpstr>
      <vt:lpstr>_35h_F56</vt:lpstr>
      <vt:lpstr>_35h_F57</vt:lpstr>
      <vt:lpstr>_35h_F58</vt:lpstr>
      <vt:lpstr>_35h_F59</vt:lpstr>
      <vt:lpstr>_35h_F60</vt:lpstr>
      <vt:lpstr>_35h_F61</vt:lpstr>
      <vt:lpstr>_35h_F62</vt:lpstr>
      <vt:lpstr>_35h_F64</vt:lpstr>
      <vt:lpstr>_35h_F65</vt:lpstr>
      <vt:lpstr>_35h_F7</vt:lpstr>
      <vt:lpstr>_35h_F8</vt:lpstr>
      <vt:lpstr>_35h_F9</vt:lpstr>
      <vt:lpstr>_36h_E10</vt:lpstr>
      <vt:lpstr>_36h_E11</vt:lpstr>
      <vt:lpstr>_36h_E12</vt:lpstr>
      <vt:lpstr>_36h_E13</vt:lpstr>
      <vt:lpstr>_36h_E14</vt:lpstr>
      <vt:lpstr>_36h_E15</vt:lpstr>
      <vt:lpstr>_36h_E16</vt:lpstr>
      <vt:lpstr>_36h_E17</vt:lpstr>
      <vt:lpstr>_36h_E18</vt:lpstr>
      <vt:lpstr>_36h_E19</vt:lpstr>
      <vt:lpstr>_36h_E20</vt:lpstr>
      <vt:lpstr>_36h_E21</vt:lpstr>
      <vt:lpstr>_36h_E22</vt:lpstr>
      <vt:lpstr>_36h_E23</vt:lpstr>
      <vt:lpstr>_36h_E24</vt:lpstr>
      <vt:lpstr>_36h_E25</vt:lpstr>
      <vt:lpstr>_36h_E26</vt:lpstr>
      <vt:lpstr>_36h_E27</vt:lpstr>
      <vt:lpstr>_36h_E28</vt:lpstr>
      <vt:lpstr>_36h_E29</vt:lpstr>
      <vt:lpstr>_36h_E30</vt:lpstr>
      <vt:lpstr>_36h_E31</vt:lpstr>
      <vt:lpstr>_36h_E32</vt:lpstr>
      <vt:lpstr>_36h_E33</vt:lpstr>
      <vt:lpstr>_36h_E34</vt:lpstr>
      <vt:lpstr>_36h_E35</vt:lpstr>
      <vt:lpstr>_36h_E36</vt:lpstr>
      <vt:lpstr>_36h_E37</vt:lpstr>
      <vt:lpstr>_36h_E38</vt:lpstr>
      <vt:lpstr>_36h_E39</vt:lpstr>
      <vt:lpstr>_36h_E40</vt:lpstr>
      <vt:lpstr>_36h_E41</vt:lpstr>
      <vt:lpstr>_36h_E42</vt:lpstr>
      <vt:lpstr>_36h_E43</vt:lpstr>
      <vt:lpstr>_36h_E44</vt:lpstr>
      <vt:lpstr>_36h_E45</vt:lpstr>
      <vt:lpstr>_36h_E46</vt:lpstr>
      <vt:lpstr>_36h_E47</vt:lpstr>
      <vt:lpstr>_36h_E48</vt:lpstr>
      <vt:lpstr>_36h_E49</vt:lpstr>
      <vt:lpstr>_36h_E50</vt:lpstr>
      <vt:lpstr>_36h_E51</vt:lpstr>
      <vt:lpstr>_36h_E53</vt:lpstr>
      <vt:lpstr>_36h_E54</vt:lpstr>
      <vt:lpstr>_36h_E55</vt:lpstr>
      <vt:lpstr>_36h_E56</vt:lpstr>
      <vt:lpstr>_36h_E57</vt:lpstr>
      <vt:lpstr>_36h_E58</vt:lpstr>
      <vt:lpstr>_36h_E59</vt:lpstr>
      <vt:lpstr>_36h_E60</vt:lpstr>
      <vt:lpstr>_36h_E61</vt:lpstr>
      <vt:lpstr>_36h_E62</vt:lpstr>
      <vt:lpstr>_36h_E64</vt:lpstr>
      <vt:lpstr>_36h_E65</vt:lpstr>
      <vt:lpstr>_36h_E7</vt:lpstr>
      <vt:lpstr>_36h_E8</vt:lpstr>
      <vt:lpstr>_36h_E9</vt:lpstr>
      <vt:lpstr>_36h_F10</vt:lpstr>
      <vt:lpstr>_36h_F11</vt:lpstr>
      <vt:lpstr>_36h_F12</vt:lpstr>
      <vt:lpstr>_36h_F13</vt:lpstr>
      <vt:lpstr>_36h_F14</vt:lpstr>
      <vt:lpstr>_36h_F15</vt:lpstr>
      <vt:lpstr>_36h_F16</vt:lpstr>
      <vt:lpstr>_36h_F17</vt:lpstr>
      <vt:lpstr>_36h_F18</vt:lpstr>
      <vt:lpstr>_36h_F19</vt:lpstr>
      <vt:lpstr>_36h_F20</vt:lpstr>
      <vt:lpstr>_36h_F21</vt:lpstr>
      <vt:lpstr>_36h_F22</vt:lpstr>
      <vt:lpstr>_36h_F23</vt:lpstr>
      <vt:lpstr>_36h_F24</vt:lpstr>
      <vt:lpstr>_36h_F25</vt:lpstr>
      <vt:lpstr>_36h_F26</vt:lpstr>
      <vt:lpstr>_36h_F27</vt:lpstr>
      <vt:lpstr>_36h_F28</vt:lpstr>
      <vt:lpstr>_36h_F29</vt:lpstr>
      <vt:lpstr>_36h_F30</vt:lpstr>
      <vt:lpstr>_36h_F31</vt:lpstr>
      <vt:lpstr>_36h_F32</vt:lpstr>
      <vt:lpstr>_36h_F33</vt:lpstr>
      <vt:lpstr>_36h_F34</vt:lpstr>
      <vt:lpstr>_36h_F35</vt:lpstr>
      <vt:lpstr>_36h_F36</vt:lpstr>
      <vt:lpstr>_36h_F37</vt:lpstr>
      <vt:lpstr>_36h_F38</vt:lpstr>
      <vt:lpstr>_36h_F39</vt:lpstr>
      <vt:lpstr>_36h_F40</vt:lpstr>
      <vt:lpstr>_36h_F41</vt:lpstr>
      <vt:lpstr>_36h_F42</vt:lpstr>
      <vt:lpstr>_36h_F43</vt:lpstr>
      <vt:lpstr>_36h_F44</vt:lpstr>
      <vt:lpstr>_36h_F45</vt:lpstr>
      <vt:lpstr>_36h_F46</vt:lpstr>
      <vt:lpstr>_36h_F47</vt:lpstr>
      <vt:lpstr>_36h_F48</vt:lpstr>
      <vt:lpstr>_36h_F49</vt:lpstr>
      <vt:lpstr>_36h_F50</vt:lpstr>
      <vt:lpstr>_36h_F51</vt:lpstr>
      <vt:lpstr>_36h_F53</vt:lpstr>
      <vt:lpstr>_36h_F54</vt:lpstr>
      <vt:lpstr>_36h_F55</vt:lpstr>
      <vt:lpstr>_36h_F56</vt:lpstr>
      <vt:lpstr>_36h_F57</vt:lpstr>
      <vt:lpstr>_36h_F58</vt:lpstr>
      <vt:lpstr>_36h_F59</vt:lpstr>
      <vt:lpstr>_36h_F60</vt:lpstr>
      <vt:lpstr>_36h_F61</vt:lpstr>
      <vt:lpstr>_36h_F62</vt:lpstr>
      <vt:lpstr>_36h_F64</vt:lpstr>
      <vt:lpstr>_36h_F65</vt:lpstr>
      <vt:lpstr>_36h_F7</vt:lpstr>
      <vt:lpstr>_36h_F8</vt:lpstr>
      <vt:lpstr>_36h_F9</vt:lpstr>
      <vt:lpstr>_37h_E10</vt:lpstr>
      <vt:lpstr>_37h_E11</vt:lpstr>
      <vt:lpstr>_37h_E12</vt:lpstr>
      <vt:lpstr>_37h_E13</vt:lpstr>
      <vt:lpstr>_37h_E14</vt:lpstr>
      <vt:lpstr>_37h_E15</vt:lpstr>
      <vt:lpstr>_37h_E16</vt:lpstr>
      <vt:lpstr>_37h_E17</vt:lpstr>
      <vt:lpstr>_37h_E18</vt:lpstr>
      <vt:lpstr>_37h_E19</vt:lpstr>
      <vt:lpstr>_37h_E20</vt:lpstr>
      <vt:lpstr>_37h_E21</vt:lpstr>
      <vt:lpstr>_37h_E22</vt:lpstr>
      <vt:lpstr>_37h_E23</vt:lpstr>
      <vt:lpstr>_37h_E24</vt:lpstr>
      <vt:lpstr>_37h_E25</vt:lpstr>
      <vt:lpstr>_37h_E26</vt:lpstr>
      <vt:lpstr>_37h_E27</vt:lpstr>
      <vt:lpstr>_37h_E28</vt:lpstr>
      <vt:lpstr>_37h_E29</vt:lpstr>
      <vt:lpstr>_37h_E30</vt:lpstr>
      <vt:lpstr>_37h_E31</vt:lpstr>
      <vt:lpstr>_37h_E32</vt:lpstr>
      <vt:lpstr>_37h_E33</vt:lpstr>
      <vt:lpstr>_37h_E34</vt:lpstr>
      <vt:lpstr>_37h_E35</vt:lpstr>
      <vt:lpstr>_37h_E36</vt:lpstr>
      <vt:lpstr>_37h_E37</vt:lpstr>
      <vt:lpstr>_37h_E38</vt:lpstr>
      <vt:lpstr>_37h_E39</vt:lpstr>
      <vt:lpstr>_37h_E40</vt:lpstr>
      <vt:lpstr>_37h_E41</vt:lpstr>
      <vt:lpstr>_37h_E42</vt:lpstr>
      <vt:lpstr>_37h_E43</vt:lpstr>
      <vt:lpstr>_37h_E44</vt:lpstr>
      <vt:lpstr>_37h_E45</vt:lpstr>
      <vt:lpstr>_37h_E46</vt:lpstr>
      <vt:lpstr>_37h_E47</vt:lpstr>
      <vt:lpstr>_37h_E48</vt:lpstr>
      <vt:lpstr>_37h_E49</vt:lpstr>
      <vt:lpstr>_37h_E50</vt:lpstr>
      <vt:lpstr>_37h_E51</vt:lpstr>
      <vt:lpstr>_37h_E53</vt:lpstr>
      <vt:lpstr>_37h_E54</vt:lpstr>
      <vt:lpstr>_37h_E55</vt:lpstr>
      <vt:lpstr>_37h_E56</vt:lpstr>
      <vt:lpstr>_37h_E57</vt:lpstr>
      <vt:lpstr>_37h_E58</vt:lpstr>
      <vt:lpstr>_37h_E59</vt:lpstr>
      <vt:lpstr>_37h_E60</vt:lpstr>
      <vt:lpstr>_37h_E61</vt:lpstr>
      <vt:lpstr>_37h_E62</vt:lpstr>
      <vt:lpstr>_37h_E64</vt:lpstr>
      <vt:lpstr>_37h_E65</vt:lpstr>
      <vt:lpstr>_37h_E7</vt:lpstr>
      <vt:lpstr>_37h_E8</vt:lpstr>
      <vt:lpstr>_37h_E9</vt:lpstr>
      <vt:lpstr>_37h_F10</vt:lpstr>
      <vt:lpstr>_37h_F11</vt:lpstr>
      <vt:lpstr>_37h_F12</vt:lpstr>
      <vt:lpstr>_37h_F13</vt:lpstr>
      <vt:lpstr>_37h_F14</vt:lpstr>
      <vt:lpstr>_37h_F15</vt:lpstr>
      <vt:lpstr>_37h_F16</vt:lpstr>
      <vt:lpstr>_37h_F17</vt:lpstr>
      <vt:lpstr>_37h_F18</vt:lpstr>
      <vt:lpstr>_37h_F19</vt:lpstr>
      <vt:lpstr>_37h_F20</vt:lpstr>
      <vt:lpstr>_37h_F21</vt:lpstr>
      <vt:lpstr>_37h_F22</vt:lpstr>
      <vt:lpstr>_37h_F23</vt:lpstr>
      <vt:lpstr>_37h_F24</vt:lpstr>
      <vt:lpstr>_37h_F25</vt:lpstr>
      <vt:lpstr>_37h_F26</vt:lpstr>
      <vt:lpstr>_37h_F27</vt:lpstr>
      <vt:lpstr>_37h_F28</vt:lpstr>
      <vt:lpstr>_37h_F29</vt:lpstr>
      <vt:lpstr>_37h_F30</vt:lpstr>
      <vt:lpstr>_37h_F31</vt:lpstr>
      <vt:lpstr>_37h_F32</vt:lpstr>
      <vt:lpstr>_37h_F33</vt:lpstr>
      <vt:lpstr>_37h_F34</vt:lpstr>
      <vt:lpstr>_37h_F35</vt:lpstr>
      <vt:lpstr>_37h_F36</vt:lpstr>
      <vt:lpstr>_37h_F37</vt:lpstr>
      <vt:lpstr>_37h_F38</vt:lpstr>
      <vt:lpstr>_37h_F39</vt:lpstr>
      <vt:lpstr>_37h_F40</vt:lpstr>
      <vt:lpstr>_37h_F41</vt:lpstr>
      <vt:lpstr>_37h_F42</vt:lpstr>
      <vt:lpstr>_37h_F43</vt:lpstr>
      <vt:lpstr>_37h_F44</vt:lpstr>
      <vt:lpstr>_37h_F45</vt:lpstr>
      <vt:lpstr>_37h_F46</vt:lpstr>
      <vt:lpstr>_37h_F47</vt:lpstr>
      <vt:lpstr>_37h_F48</vt:lpstr>
      <vt:lpstr>_37h_F49</vt:lpstr>
      <vt:lpstr>_37h_F50</vt:lpstr>
      <vt:lpstr>_37h_F51</vt:lpstr>
      <vt:lpstr>_37h_F53</vt:lpstr>
      <vt:lpstr>_37h_F54</vt:lpstr>
      <vt:lpstr>_37h_F55</vt:lpstr>
      <vt:lpstr>_37h_F56</vt:lpstr>
      <vt:lpstr>_37h_F57</vt:lpstr>
      <vt:lpstr>_37h_F58</vt:lpstr>
      <vt:lpstr>_37h_F59</vt:lpstr>
      <vt:lpstr>_37h_F60</vt:lpstr>
      <vt:lpstr>_37h_F61</vt:lpstr>
      <vt:lpstr>_37h_F62</vt:lpstr>
      <vt:lpstr>_37h_F64</vt:lpstr>
      <vt:lpstr>_37h_F65</vt:lpstr>
      <vt:lpstr>_37h_F7</vt:lpstr>
      <vt:lpstr>_37h_F8</vt:lpstr>
      <vt:lpstr>_37h_F9</vt:lpstr>
      <vt:lpstr>_38h_E10</vt:lpstr>
      <vt:lpstr>_38h_E11</vt:lpstr>
      <vt:lpstr>_38h_E12</vt:lpstr>
      <vt:lpstr>_38h_E13</vt:lpstr>
      <vt:lpstr>_38h_E14</vt:lpstr>
      <vt:lpstr>_38h_E15</vt:lpstr>
      <vt:lpstr>_38h_E16</vt:lpstr>
      <vt:lpstr>_38h_E17</vt:lpstr>
      <vt:lpstr>_38h_E18</vt:lpstr>
      <vt:lpstr>_38h_E19</vt:lpstr>
      <vt:lpstr>_38h_E20</vt:lpstr>
      <vt:lpstr>_38h_E21</vt:lpstr>
      <vt:lpstr>_38h_E22</vt:lpstr>
      <vt:lpstr>_38h_E23</vt:lpstr>
      <vt:lpstr>_38h_E24</vt:lpstr>
      <vt:lpstr>_38h_E25</vt:lpstr>
      <vt:lpstr>_38h_E26</vt:lpstr>
      <vt:lpstr>_38h_E27</vt:lpstr>
      <vt:lpstr>_38h_E28</vt:lpstr>
      <vt:lpstr>_38h_E29</vt:lpstr>
      <vt:lpstr>_38h_E30</vt:lpstr>
      <vt:lpstr>_38h_E31</vt:lpstr>
      <vt:lpstr>_38h_E32</vt:lpstr>
      <vt:lpstr>_38h_E33</vt:lpstr>
      <vt:lpstr>_38h_E34</vt:lpstr>
      <vt:lpstr>_38h_E35</vt:lpstr>
      <vt:lpstr>_38h_E36</vt:lpstr>
      <vt:lpstr>_38h_E37</vt:lpstr>
      <vt:lpstr>_38h_E38</vt:lpstr>
      <vt:lpstr>_38h_E39</vt:lpstr>
      <vt:lpstr>_38h_E40</vt:lpstr>
      <vt:lpstr>_38h_E41</vt:lpstr>
      <vt:lpstr>_38h_E42</vt:lpstr>
      <vt:lpstr>_38h_E43</vt:lpstr>
      <vt:lpstr>_38h_E44</vt:lpstr>
      <vt:lpstr>_38h_E45</vt:lpstr>
      <vt:lpstr>_38h_E46</vt:lpstr>
      <vt:lpstr>_38h_E47</vt:lpstr>
      <vt:lpstr>_38h_E48</vt:lpstr>
      <vt:lpstr>_38h_E49</vt:lpstr>
      <vt:lpstr>_38h_E50</vt:lpstr>
      <vt:lpstr>_38h_E51</vt:lpstr>
      <vt:lpstr>_38h_E53</vt:lpstr>
      <vt:lpstr>_38h_E54</vt:lpstr>
      <vt:lpstr>_38h_E55</vt:lpstr>
      <vt:lpstr>_38h_E56</vt:lpstr>
      <vt:lpstr>_38h_E57</vt:lpstr>
      <vt:lpstr>_38h_E58</vt:lpstr>
      <vt:lpstr>_38h_E59</vt:lpstr>
      <vt:lpstr>_38h_E60</vt:lpstr>
      <vt:lpstr>_38h_E61</vt:lpstr>
      <vt:lpstr>_38h_E62</vt:lpstr>
      <vt:lpstr>_38h_E64</vt:lpstr>
      <vt:lpstr>_38h_E65</vt:lpstr>
      <vt:lpstr>_38h_E7</vt:lpstr>
      <vt:lpstr>_38h_E8</vt:lpstr>
      <vt:lpstr>_38h_E9</vt:lpstr>
      <vt:lpstr>_38h_F10</vt:lpstr>
      <vt:lpstr>_38h_F11</vt:lpstr>
      <vt:lpstr>_38h_F12</vt:lpstr>
      <vt:lpstr>_38h_F13</vt:lpstr>
      <vt:lpstr>_38h_F14</vt:lpstr>
      <vt:lpstr>_38h_F15</vt:lpstr>
      <vt:lpstr>_38h_F16</vt:lpstr>
      <vt:lpstr>_38h_F17</vt:lpstr>
      <vt:lpstr>_38h_F18</vt:lpstr>
      <vt:lpstr>_38h_F19</vt:lpstr>
      <vt:lpstr>_38h_F20</vt:lpstr>
      <vt:lpstr>_38h_F21</vt:lpstr>
      <vt:lpstr>_38h_F22</vt:lpstr>
      <vt:lpstr>_38h_F23</vt:lpstr>
      <vt:lpstr>_38h_F24</vt:lpstr>
      <vt:lpstr>_38h_F25</vt:lpstr>
      <vt:lpstr>_38h_F26</vt:lpstr>
      <vt:lpstr>_38h_F27</vt:lpstr>
      <vt:lpstr>_38h_F28</vt:lpstr>
      <vt:lpstr>_38h_F29</vt:lpstr>
      <vt:lpstr>_38h_F30</vt:lpstr>
      <vt:lpstr>_38h_F31</vt:lpstr>
      <vt:lpstr>_38h_F32</vt:lpstr>
      <vt:lpstr>_38h_F33</vt:lpstr>
      <vt:lpstr>_38h_F34</vt:lpstr>
      <vt:lpstr>_38h_F35</vt:lpstr>
      <vt:lpstr>_38h_F36</vt:lpstr>
      <vt:lpstr>_38h_F37</vt:lpstr>
      <vt:lpstr>_38h_F38</vt:lpstr>
      <vt:lpstr>_38h_F39</vt:lpstr>
      <vt:lpstr>_38h_F40</vt:lpstr>
      <vt:lpstr>_38h_F41</vt:lpstr>
      <vt:lpstr>_38h_F42</vt:lpstr>
      <vt:lpstr>_38h_F43</vt:lpstr>
      <vt:lpstr>_38h_F44</vt:lpstr>
      <vt:lpstr>_38h_F45</vt:lpstr>
      <vt:lpstr>_38h_F46</vt:lpstr>
      <vt:lpstr>_38h_F47</vt:lpstr>
      <vt:lpstr>_38h_F48</vt:lpstr>
      <vt:lpstr>_38h_F49</vt:lpstr>
      <vt:lpstr>_38h_F50</vt:lpstr>
      <vt:lpstr>_38h_F51</vt:lpstr>
      <vt:lpstr>_38h_F53</vt:lpstr>
      <vt:lpstr>_38h_F54</vt:lpstr>
      <vt:lpstr>_38h_F55</vt:lpstr>
      <vt:lpstr>_38h_F56</vt:lpstr>
      <vt:lpstr>_38h_F57</vt:lpstr>
      <vt:lpstr>_38h_F58</vt:lpstr>
      <vt:lpstr>_38h_F59</vt:lpstr>
      <vt:lpstr>_38h_F60</vt:lpstr>
      <vt:lpstr>_38h_F61</vt:lpstr>
      <vt:lpstr>_38h_F62</vt:lpstr>
      <vt:lpstr>_38h_F64</vt:lpstr>
      <vt:lpstr>_38h_F65</vt:lpstr>
      <vt:lpstr>_38h_F7</vt:lpstr>
      <vt:lpstr>_38h_F8</vt:lpstr>
      <vt:lpstr>_38h_F9</vt:lpstr>
      <vt:lpstr>_39h_E10</vt:lpstr>
      <vt:lpstr>_39h_E11</vt:lpstr>
      <vt:lpstr>_39h_E12</vt:lpstr>
      <vt:lpstr>_39h_E13</vt:lpstr>
      <vt:lpstr>_39h_E14</vt:lpstr>
      <vt:lpstr>_39h_E15</vt:lpstr>
      <vt:lpstr>_39h_E16</vt:lpstr>
      <vt:lpstr>_39h_E17</vt:lpstr>
      <vt:lpstr>_39h_E18</vt:lpstr>
      <vt:lpstr>_39h_E19</vt:lpstr>
      <vt:lpstr>_39h_E20</vt:lpstr>
      <vt:lpstr>_39h_E21</vt:lpstr>
      <vt:lpstr>_39h_E22</vt:lpstr>
      <vt:lpstr>_39h_E23</vt:lpstr>
      <vt:lpstr>_39h_E24</vt:lpstr>
      <vt:lpstr>_39h_E25</vt:lpstr>
      <vt:lpstr>_39h_E26</vt:lpstr>
      <vt:lpstr>_39h_E27</vt:lpstr>
      <vt:lpstr>_39h_E28</vt:lpstr>
      <vt:lpstr>_39h_E29</vt:lpstr>
      <vt:lpstr>_39h_E30</vt:lpstr>
      <vt:lpstr>_39h_E31</vt:lpstr>
      <vt:lpstr>_39h_E32</vt:lpstr>
      <vt:lpstr>_39h_E33</vt:lpstr>
      <vt:lpstr>_39h_E34</vt:lpstr>
      <vt:lpstr>_39h_E35</vt:lpstr>
      <vt:lpstr>_39h_E36</vt:lpstr>
      <vt:lpstr>_39h_E37</vt:lpstr>
      <vt:lpstr>_39h_E38</vt:lpstr>
      <vt:lpstr>_39h_E39</vt:lpstr>
      <vt:lpstr>_39h_E40</vt:lpstr>
      <vt:lpstr>_39h_E41</vt:lpstr>
      <vt:lpstr>_39h_E42</vt:lpstr>
      <vt:lpstr>_39h_E43</vt:lpstr>
      <vt:lpstr>_39h_E44</vt:lpstr>
      <vt:lpstr>_39h_E45</vt:lpstr>
      <vt:lpstr>_39h_E46</vt:lpstr>
      <vt:lpstr>_39h_E47</vt:lpstr>
      <vt:lpstr>_39h_E48</vt:lpstr>
      <vt:lpstr>_39h_E49</vt:lpstr>
      <vt:lpstr>_39h_E50</vt:lpstr>
      <vt:lpstr>_39h_E51</vt:lpstr>
      <vt:lpstr>_39h_E53</vt:lpstr>
      <vt:lpstr>_39h_E54</vt:lpstr>
      <vt:lpstr>_39h_E55</vt:lpstr>
      <vt:lpstr>_39h_E56</vt:lpstr>
      <vt:lpstr>_39h_E57</vt:lpstr>
      <vt:lpstr>_39h_E58</vt:lpstr>
      <vt:lpstr>_39h_E59</vt:lpstr>
      <vt:lpstr>_39h_E60</vt:lpstr>
      <vt:lpstr>_39h_E61</vt:lpstr>
      <vt:lpstr>_39h_E62</vt:lpstr>
      <vt:lpstr>_39h_E64</vt:lpstr>
      <vt:lpstr>_39h_E65</vt:lpstr>
      <vt:lpstr>_39h_E7</vt:lpstr>
      <vt:lpstr>_39h_E8</vt:lpstr>
      <vt:lpstr>_39h_E9</vt:lpstr>
      <vt:lpstr>_39h_F10</vt:lpstr>
      <vt:lpstr>_39h_F11</vt:lpstr>
      <vt:lpstr>_39h_F12</vt:lpstr>
      <vt:lpstr>_39h_F13</vt:lpstr>
      <vt:lpstr>_39h_F14</vt:lpstr>
      <vt:lpstr>_39h_F15</vt:lpstr>
      <vt:lpstr>_39h_F16</vt:lpstr>
      <vt:lpstr>_39h_F17</vt:lpstr>
      <vt:lpstr>_39h_F18</vt:lpstr>
      <vt:lpstr>_39h_F19</vt:lpstr>
      <vt:lpstr>_39h_F20</vt:lpstr>
      <vt:lpstr>_39h_F21</vt:lpstr>
      <vt:lpstr>_39h_F22</vt:lpstr>
      <vt:lpstr>_39h_F23</vt:lpstr>
      <vt:lpstr>_39h_F24</vt:lpstr>
      <vt:lpstr>_39h_F25</vt:lpstr>
      <vt:lpstr>_39h_F26</vt:lpstr>
      <vt:lpstr>_39h_F27</vt:lpstr>
      <vt:lpstr>_39h_F28</vt:lpstr>
      <vt:lpstr>_39h_F29</vt:lpstr>
      <vt:lpstr>_39h_F30</vt:lpstr>
      <vt:lpstr>_39h_F31</vt:lpstr>
      <vt:lpstr>_39h_F32</vt:lpstr>
      <vt:lpstr>_39h_F33</vt:lpstr>
      <vt:lpstr>_39h_F34</vt:lpstr>
      <vt:lpstr>_39h_F35</vt:lpstr>
      <vt:lpstr>_39h_F36</vt:lpstr>
      <vt:lpstr>_39h_F37</vt:lpstr>
      <vt:lpstr>_39h_F38</vt:lpstr>
      <vt:lpstr>_39h_F39</vt:lpstr>
      <vt:lpstr>_39h_F40</vt:lpstr>
      <vt:lpstr>_39h_F41</vt:lpstr>
      <vt:lpstr>_39h_F42</vt:lpstr>
      <vt:lpstr>_39h_F43</vt:lpstr>
      <vt:lpstr>_39h_F44</vt:lpstr>
      <vt:lpstr>_39h_F45</vt:lpstr>
      <vt:lpstr>_39h_F46</vt:lpstr>
      <vt:lpstr>_39h_F47</vt:lpstr>
      <vt:lpstr>_39h_F48</vt:lpstr>
      <vt:lpstr>_39h_F49</vt:lpstr>
      <vt:lpstr>_39h_F50</vt:lpstr>
      <vt:lpstr>_39h_F51</vt:lpstr>
      <vt:lpstr>_39h_F53</vt:lpstr>
      <vt:lpstr>_39h_F54</vt:lpstr>
      <vt:lpstr>_39h_F55</vt:lpstr>
      <vt:lpstr>_39h_F56</vt:lpstr>
      <vt:lpstr>_39h_F57</vt:lpstr>
      <vt:lpstr>_39h_F58</vt:lpstr>
      <vt:lpstr>_39h_F59</vt:lpstr>
      <vt:lpstr>_39h_F60</vt:lpstr>
      <vt:lpstr>_39h_F61</vt:lpstr>
      <vt:lpstr>_39h_F62</vt:lpstr>
      <vt:lpstr>_39h_F64</vt:lpstr>
      <vt:lpstr>_39h_F65</vt:lpstr>
      <vt:lpstr>_39h_F7</vt:lpstr>
      <vt:lpstr>_39h_F8</vt:lpstr>
      <vt:lpstr>_39h_F9</vt:lpstr>
      <vt:lpstr>_3h_E10</vt:lpstr>
      <vt:lpstr>_3h_E11</vt:lpstr>
      <vt:lpstr>_3h_E12</vt:lpstr>
      <vt:lpstr>_3h_E13</vt:lpstr>
      <vt:lpstr>_3h_E14</vt:lpstr>
      <vt:lpstr>_3h_E15</vt:lpstr>
      <vt:lpstr>_3h_E16</vt:lpstr>
      <vt:lpstr>_3h_E17</vt:lpstr>
      <vt:lpstr>_3h_E18</vt:lpstr>
      <vt:lpstr>_3h_E19</vt:lpstr>
      <vt:lpstr>_3h_E20</vt:lpstr>
      <vt:lpstr>_3h_E21</vt:lpstr>
      <vt:lpstr>_3h_E22</vt:lpstr>
      <vt:lpstr>_3h_E23</vt:lpstr>
      <vt:lpstr>_3h_E24</vt:lpstr>
      <vt:lpstr>_3h_E25</vt:lpstr>
      <vt:lpstr>_3h_E26</vt:lpstr>
      <vt:lpstr>_3h_E27</vt:lpstr>
      <vt:lpstr>_3h_E28</vt:lpstr>
      <vt:lpstr>_3h_E29</vt:lpstr>
      <vt:lpstr>_3h_E30</vt:lpstr>
      <vt:lpstr>_3h_E31</vt:lpstr>
      <vt:lpstr>_3h_E32</vt:lpstr>
      <vt:lpstr>_3h_E33</vt:lpstr>
      <vt:lpstr>_3h_E34</vt:lpstr>
      <vt:lpstr>_3h_E35</vt:lpstr>
      <vt:lpstr>_3h_E36</vt:lpstr>
      <vt:lpstr>_3h_E37</vt:lpstr>
      <vt:lpstr>_3h_E38</vt:lpstr>
      <vt:lpstr>_3h_E39</vt:lpstr>
      <vt:lpstr>_3h_E40</vt:lpstr>
      <vt:lpstr>_3h_E41</vt:lpstr>
      <vt:lpstr>_3h_E42</vt:lpstr>
      <vt:lpstr>_3h_E43</vt:lpstr>
      <vt:lpstr>_3h_E44</vt:lpstr>
      <vt:lpstr>_3h_E45</vt:lpstr>
      <vt:lpstr>_3h_E46</vt:lpstr>
      <vt:lpstr>_3h_E47</vt:lpstr>
      <vt:lpstr>_3h_E48</vt:lpstr>
      <vt:lpstr>_3h_E49</vt:lpstr>
      <vt:lpstr>_3h_E50</vt:lpstr>
      <vt:lpstr>_3h_E51</vt:lpstr>
      <vt:lpstr>_3h_E53</vt:lpstr>
      <vt:lpstr>_3h_E54</vt:lpstr>
      <vt:lpstr>_3h_E55</vt:lpstr>
      <vt:lpstr>_3h_E56</vt:lpstr>
      <vt:lpstr>_3h_E57</vt:lpstr>
      <vt:lpstr>_3h_E58</vt:lpstr>
      <vt:lpstr>_3h_E59</vt:lpstr>
      <vt:lpstr>_3h_E60</vt:lpstr>
      <vt:lpstr>_3h_E61</vt:lpstr>
      <vt:lpstr>_3h_E62</vt:lpstr>
      <vt:lpstr>_3h_E64</vt:lpstr>
      <vt:lpstr>_3h_E65</vt:lpstr>
      <vt:lpstr>_3h_E7</vt:lpstr>
      <vt:lpstr>_3h_E8</vt:lpstr>
      <vt:lpstr>_3h_E9</vt:lpstr>
      <vt:lpstr>_3h_F10</vt:lpstr>
      <vt:lpstr>_3h_F11</vt:lpstr>
      <vt:lpstr>_3h_F12</vt:lpstr>
      <vt:lpstr>_3h_F13</vt:lpstr>
      <vt:lpstr>_3h_F14</vt:lpstr>
      <vt:lpstr>_3h_F15</vt:lpstr>
      <vt:lpstr>_3h_F16</vt:lpstr>
      <vt:lpstr>_3h_F17</vt:lpstr>
      <vt:lpstr>_3h_F18</vt:lpstr>
      <vt:lpstr>_3h_F19</vt:lpstr>
      <vt:lpstr>_3h_F20</vt:lpstr>
      <vt:lpstr>_3h_F21</vt:lpstr>
      <vt:lpstr>_3h_F22</vt:lpstr>
      <vt:lpstr>_3h_F23</vt:lpstr>
      <vt:lpstr>_3h_F24</vt:lpstr>
      <vt:lpstr>_3h_F25</vt:lpstr>
      <vt:lpstr>_3h_F26</vt:lpstr>
      <vt:lpstr>_3h_F27</vt:lpstr>
      <vt:lpstr>_3h_F28</vt:lpstr>
      <vt:lpstr>_3h_F29</vt:lpstr>
      <vt:lpstr>_3h_F30</vt:lpstr>
      <vt:lpstr>_3h_F31</vt:lpstr>
      <vt:lpstr>_3h_F32</vt:lpstr>
      <vt:lpstr>_3h_F33</vt:lpstr>
      <vt:lpstr>_3h_F34</vt:lpstr>
      <vt:lpstr>_3h_F35</vt:lpstr>
      <vt:lpstr>_3h_F36</vt:lpstr>
      <vt:lpstr>_3h_F37</vt:lpstr>
      <vt:lpstr>_3h_F38</vt:lpstr>
      <vt:lpstr>_3h_F39</vt:lpstr>
      <vt:lpstr>_3h_F40</vt:lpstr>
      <vt:lpstr>_3h_F41</vt:lpstr>
      <vt:lpstr>_3h_F42</vt:lpstr>
      <vt:lpstr>_3h_F43</vt:lpstr>
      <vt:lpstr>_3h_F44</vt:lpstr>
      <vt:lpstr>_3h_F45</vt:lpstr>
      <vt:lpstr>_3h_F46</vt:lpstr>
      <vt:lpstr>_3h_F47</vt:lpstr>
      <vt:lpstr>_3h_F48</vt:lpstr>
      <vt:lpstr>_3h_F49</vt:lpstr>
      <vt:lpstr>_3h_F50</vt:lpstr>
      <vt:lpstr>_3h_F51</vt:lpstr>
      <vt:lpstr>_3h_F53</vt:lpstr>
      <vt:lpstr>_3h_F54</vt:lpstr>
      <vt:lpstr>_3h_F55</vt:lpstr>
      <vt:lpstr>_3h_F56</vt:lpstr>
      <vt:lpstr>_3h_F57</vt:lpstr>
      <vt:lpstr>_3h_F58</vt:lpstr>
      <vt:lpstr>_3h_F59</vt:lpstr>
      <vt:lpstr>_3h_F60</vt:lpstr>
      <vt:lpstr>_3h_F61</vt:lpstr>
      <vt:lpstr>_3h_F62</vt:lpstr>
      <vt:lpstr>_3h_F64</vt:lpstr>
      <vt:lpstr>_3h_F65</vt:lpstr>
      <vt:lpstr>_3h_F7</vt:lpstr>
      <vt:lpstr>_3h_F8</vt:lpstr>
      <vt:lpstr>_3h_F9</vt:lpstr>
      <vt:lpstr>_40h_E10</vt:lpstr>
      <vt:lpstr>_40h_E11</vt:lpstr>
      <vt:lpstr>_40h_E12</vt:lpstr>
      <vt:lpstr>_40h_E13</vt:lpstr>
      <vt:lpstr>_40h_E14</vt:lpstr>
      <vt:lpstr>_40h_E15</vt:lpstr>
      <vt:lpstr>_40h_E16</vt:lpstr>
      <vt:lpstr>_40h_E17</vt:lpstr>
      <vt:lpstr>_40h_E18</vt:lpstr>
      <vt:lpstr>_40h_E19</vt:lpstr>
      <vt:lpstr>_40h_E20</vt:lpstr>
      <vt:lpstr>_40h_E21</vt:lpstr>
      <vt:lpstr>_40h_E22</vt:lpstr>
      <vt:lpstr>_40h_E23</vt:lpstr>
      <vt:lpstr>_40h_E24</vt:lpstr>
      <vt:lpstr>_40h_E25</vt:lpstr>
      <vt:lpstr>_40h_E26</vt:lpstr>
      <vt:lpstr>_40h_E27</vt:lpstr>
      <vt:lpstr>_40h_E28</vt:lpstr>
      <vt:lpstr>_40h_E29</vt:lpstr>
      <vt:lpstr>_40h_E30</vt:lpstr>
      <vt:lpstr>_40h_E31</vt:lpstr>
      <vt:lpstr>_40h_E32</vt:lpstr>
      <vt:lpstr>_40h_E33</vt:lpstr>
      <vt:lpstr>_40h_E34</vt:lpstr>
      <vt:lpstr>_40h_E35</vt:lpstr>
      <vt:lpstr>_40h_E36</vt:lpstr>
      <vt:lpstr>_40h_E37</vt:lpstr>
      <vt:lpstr>_40h_E38</vt:lpstr>
      <vt:lpstr>_40h_E39</vt:lpstr>
      <vt:lpstr>_40h_E40</vt:lpstr>
      <vt:lpstr>_40h_E41</vt:lpstr>
      <vt:lpstr>_40h_E42</vt:lpstr>
      <vt:lpstr>_40h_E43</vt:lpstr>
      <vt:lpstr>_40h_E44</vt:lpstr>
      <vt:lpstr>_40h_E45</vt:lpstr>
      <vt:lpstr>_40h_E46</vt:lpstr>
      <vt:lpstr>_40h_E47</vt:lpstr>
      <vt:lpstr>_40h_E48</vt:lpstr>
      <vt:lpstr>_40h_E49</vt:lpstr>
      <vt:lpstr>_40h_E50</vt:lpstr>
      <vt:lpstr>_40h_E51</vt:lpstr>
      <vt:lpstr>_40h_E53</vt:lpstr>
      <vt:lpstr>_40h_E54</vt:lpstr>
      <vt:lpstr>_40h_E55</vt:lpstr>
      <vt:lpstr>_40h_E56</vt:lpstr>
      <vt:lpstr>_40h_E57</vt:lpstr>
      <vt:lpstr>_40h_E58</vt:lpstr>
      <vt:lpstr>_40h_E59</vt:lpstr>
      <vt:lpstr>_40h_E60</vt:lpstr>
      <vt:lpstr>_40h_E61</vt:lpstr>
      <vt:lpstr>_40h_E62</vt:lpstr>
      <vt:lpstr>_40h_E64</vt:lpstr>
      <vt:lpstr>_40h_E65</vt:lpstr>
      <vt:lpstr>_40h_E7</vt:lpstr>
      <vt:lpstr>_40h_E8</vt:lpstr>
      <vt:lpstr>_40h_E9</vt:lpstr>
      <vt:lpstr>_40h_F10</vt:lpstr>
      <vt:lpstr>_40h_F11</vt:lpstr>
      <vt:lpstr>_40h_F12</vt:lpstr>
      <vt:lpstr>_40h_F13</vt:lpstr>
      <vt:lpstr>_40h_F14</vt:lpstr>
      <vt:lpstr>_40h_F15</vt:lpstr>
      <vt:lpstr>_40h_F16</vt:lpstr>
      <vt:lpstr>_40h_F17</vt:lpstr>
      <vt:lpstr>_40h_F18</vt:lpstr>
      <vt:lpstr>_40h_F19</vt:lpstr>
      <vt:lpstr>_40h_F20</vt:lpstr>
      <vt:lpstr>_40h_F21</vt:lpstr>
      <vt:lpstr>_40h_F22</vt:lpstr>
      <vt:lpstr>_40h_F23</vt:lpstr>
      <vt:lpstr>_40h_F24</vt:lpstr>
      <vt:lpstr>_40h_F25</vt:lpstr>
      <vt:lpstr>_40h_F26</vt:lpstr>
      <vt:lpstr>_40h_F27</vt:lpstr>
      <vt:lpstr>_40h_F28</vt:lpstr>
      <vt:lpstr>_40h_F29</vt:lpstr>
      <vt:lpstr>_40h_F30</vt:lpstr>
      <vt:lpstr>_40h_F31</vt:lpstr>
      <vt:lpstr>_40h_F32</vt:lpstr>
      <vt:lpstr>_40h_F33</vt:lpstr>
      <vt:lpstr>_40h_F34</vt:lpstr>
      <vt:lpstr>_40h_F35</vt:lpstr>
      <vt:lpstr>_40h_F36</vt:lpstr>
      <vt:lpstr>_40h_F37</vt:lpstr>
      <vt:lpstr>_40h_F38</vt:lpstr>
      <vt:lpstr>_40h_F39</vt:lpstr>
      <vt:lpstr>_40h_F40</vt:lpstr>
      <vt:lpstr>_40h_F41</vt:lpstr>
      <vt:lpstr>_40h_F42</vt:lpstr>
      <vt:lpstr>_40h_F43</vt:lpstr>
      <vt:lpstr>_40h_F44</vt:lpstr>
      <vt:lpstr>_40h_F45</vt:lpstr>
      <vt:lpstr>_40h_F46</vt:lpstr>
      <vt:lpstr>_40h_F47</vt:lpstr>
      <vt:lpstr>_40h_F48</vt:lpstr>
      <vt:lpstr>_40h_F49</vt:lpstr>
      <vt:lpstr>_40h_F50</vt:lpstr>
      <vt:lpstr>_40h_F51</vt:lpstr>
      <vt:lpstr>_40h_F53</vt:lpstr>
      <vt:lpstr>_40h_F54</vt:lpstr>
      <vt:lpstr>_40h_F55</vt:lpstr>
      <vt:lpstr>_40h_F56</vt:lpstr>
      <vt:lpstr>_40h_F57</vt:lpstr>
      <vt:lpstr>_40h_F58</vt:lpstr>
      <vt:lpstr>_40h_F59</vt:lpstr>
      <vt:lpstr>_40h_F60</vt:lpstr>
      <vt:lpstr>_40h_F61</vt:lpstr>
      <vt:lpstr>_40h_F62</vt:lpstr>
      <vt:lpstr>_40h_F64</vt:lpstr>
      <vt:lpstr>_40h_F65</vt:lpstr>
      <vt:lpstr>_40h_F7</vt:lpstr>
      <vt:lpstr>_40h_F8</vt:lpstr>
      <vt:lpstr>_40h_F9</vt:lpstr>
      <vt:lpstr>_41h_E10</vt:lpstr>
      <vt:lpstr>_41h_E11</vt:lpstr>
      <vt:lpstr>_41h_E12</vt:lpstr>
      <vt:lpstr>_41h_E13</vt:lpstr>
      <vt:lpstr>_41h_E14</vt:lpstr>
      <vt:lpstr>_41h_E15</vt:lpstr>
      <vt:lpstr>_41h_E16</vt:lpstr>
      <vt:lpstr>_41h_E17</vt:lpstr>
      <vt:lpstr>_41h_E18</vt:lpstr>
      <vt:lpstr>_41h_E19</vt:lpstr>
      <vt:lpstr>_41h_E20</vt:lpstr>
      <vt:lpstr>_41h_E21</vt:lpstr>
      <vt:lpstr>_41h_E22</vt:lpstr>
      <vt:lpstr>_41h_E23</vt:lpstr>
      <vt:lpstr>_41h_E24</vt:lpstr>
      <vt:lpstr>_41h_E25</vt:lpstr>
      <vt:lpstr>_41h_E26</vt:lpstr>
      <vt:lpstr>_41h_E27</vt:lpstr>
      <vt:lpstr>_41h_E28</vt:lpstr>
      <vt:lpstr>_41h_E29</vt:lpstr>
      <vt:lpstr>_41h_E30</vt:lpstr>
      <vt:lpstr>_41h_E31</vt:lpstr>
      <vt:lpstr>_41h_E32</vt:lpstr>
      <vt:lpstr>_41h_E33</vt:lpstr>
      <vt:lpstr>_41h_E34</vt:lpstr>
      <vt:lpstr>_41h_E35</vt:lpstr>
      <vt:lpstr>_41h_E36</vt:lpstr>
      <vt:lpstr>_41h_E37</vt:lpstr>
      <vt:lpstr>_41h_E38</vt:lpstr>
      <vt:lpstr>_41h_E39</vt:lpstr>
      <vt:lpstr>_41h_E40</vt:lpstr>
      <vt:lpstr>_41h_E41</vt:lpstr>
      <vt:lpstr>_41h_E42</vt:lpstr>
      <vt:lpstr>_41h_E43</vt:lpstr>
      <vt:lpstr>_41h_E44</vt:lpstr>
      <vt:lpstr>_41h_E45</vt:lpstr>
      <vt:lpstr>_41h_E46</vt:lpstr>
      <vt:lpstr>_41h_E47</vt:lpstr>
      <vt:lpstr>_41h_E48</vt:lpstr>
      <vt:lpstr>_41h_E49</vt:lpstr>
      <vt:lpstr>_41h_E50</vt:lpstr>
      <vt:lpstr>_41h_E51</vt:lpstr>
      <vt:lpstr>_41h_E53</vt:lpstr>
      <vt:lpstr>_41h_E54</vt:lpstr>
      <vt:lpstr>_41h_E55</vt:lpstr>
      <vt:lpstr>_41h_E56</vt:lpstr>
      <vt:lpstr>_41h_E57</vt:lpstr>
      <vt:lpstr>_41h_E58</vt:lpstr>
      <vt:lpstr>_41h_E59</vt:lpstr>
      <vt:lpstr>_41h_E60</vt:lpstr>
      <vt:lpstr>_41h_E61</vt:lpstr>
      <vt:lpstr>_41h_E62</vt:lpstr>
      <vt:lpstr>_41h_E64</vt:lpstr>
      <vt:lpstr>_41h_E65</vt:lpstr>
      <vt:lpstr>_41h_E7</vt:lpstr>
      <vt:lpstr>_41h_E8</vt:lpstr>
      <vt:lpstr>_41h_E9</vt:lpstr>
      <vt:lpstr>_41h_F10</vt:lpstr>
      <vt:lpstr>_41h_F11</vt:lpstr>
      <vt:lpstr>_41h_F12</vt:lpstr>
      <vt:lpstr>_41h_F13</vt:lpstr>
      <vt:lpstr>_41h_F14</vt:lpstr>
      <vt:lpstr>_41h_F15</vt:lpstr>
      <vt:lpstr>_41h_F16</vt:lpstr>
      <vt:lpstr>_41h_F17</vt:lpstr>
      <vt:lpstr>_41h_F18</vt:lpstr>
      <vt:lpstr>_41h_F19</vt:lpstr>
      <vt:lpstr>_41h_F20</vt:lpstr>
      <vt:lpstr>_41h_F21</vt:lpstr>
      <vt:lpstr>_41h_F22</vt:lpstr>
      <vt:lpstr>_41h_F23</vt:lpstr>
      <vt:lpstr>_41h_F24</vt:lpstr>
      <vt:lpstr>_41h_F25</vt:lpstr>
      <vt:lpstr>_41h_F26</vt:lpstr>
      <vt:lpstr>_41h_F27</vt:lpstr>
      <vt:lpstr>_41h_F28</vt:lpstr>
      <vt:lpstr>_41h_F29</vt:lpstr>
      <vt:lpstr>_41h_F30</vt:lpstr>
      <vt:lpstr>_41h_F31</vt:lpstr>
      <vt:lpstr>_41h_F32</vt:lpstr>
      <vt:lpstr>_41h_F33</vt:lpstr>
      <vt:lpstr>_41h_F34</vt:lpstr>
      <vt:lpstr>_41h_F35</vt:lpstr>
      <vt:lpstr>_41h_F36</vt:lpstr>
      <vt:lpstr>_41h_F37</vt:lpstr>
      <vt:lpstr>_41h_F38</vt:lpstr>
      <vt:lpstr>_41h_F39</vt:lpstr>
      <vt:lpstr>_41h_F40</vt:lpstr>
      <vt:lpstr>_41h_F41</vt:lpstr>
      <vt:lpstr>_41h_F42</vt:lpstr>
      <vt:lpstr>_41h_F43</vt:lpstr>
      <vt:lpstr>_41h_F44</vt:lpstr>
      <vt:lpstr>_41h_F45</vt:lpstr>
      <vt:lpstr>_41h_F46</vt:lpstr>
      <vt:lpstr>_41h_F47</vt:lpstr>
      <vt:lpstr>_41h_F48</vt:lpstr>
      <vt:lpstr>_41h_F49</vt:lpstr>
      <vt:lpstr>_41h_F50</vt:lpstr>
      <vt:lpstr>_41h_F51</vt:lpstr>
      <vt:lpstr>_41h_F53</vt:lpstr>
      <vt:lpstr>_41h_F54</vt:lpstr>
      <vt:lpstr>_41h_F55</vt:lpstr>
      <vt:lpstr>_41h_F56</vt:lpstr>
      <vt:lpstr>_41h_F57</vt:lpstr>
      <vt:lpstr>_41h_F58</vt:lpstr>
      <vt:lpstr>_41h_F59</vt:lpstr>
      <vt:lpstr>_41h_F60</vt:lpstr>
      <vt:lpstr>_41h_F61</vt:lpstr>
      <vt:lpstr>_41h_F62</vt:lpstr>
      <vt:lpstr>_41h_F64</vt:lpstr>
      <vt:lpstr>_41h_F65</vt:lpstr>
      <vt:lpstr>_41h_F7</vt:lpstr>
      <vt:lpstr>_41h_F8</vt:lpstr>
      <vt:lpstr>_41h_F9</vt:lpstr>
      <vt:lpstr>_42h_E10</vt:lpstr>
      <vt:lpstr>_42h_E11</vt:lpstr>
      <vt:lpstr>_42h_E12</vt:lpstr>
      <vt:lpstr>_42h_E13</vt:lpstr>
      <vt:lpstr>_42h_E14</vt:lpstr>
      <vt:lpstr>_42h_E15</vt:lpstr>
      <vt:lpstr>_42h_E16</vt:lpstr>
      <vt:lpstr>_42h_E17</vt:lpstr>
      <vt:lpstr>_42h_E18</vt:lpstr>
      <vt:lpstr>_42h_E19</vt:lpstr>
      <vt:lpstr>_42h_E20</vt:lpstr>
      <vt:lpstr>_42h_E21</vt:lpstr>
      <vt:lpstr>_42h_E22</vt:lpstr>
      <vt:lpstr>_42h_E23</vt:lpstr>
      <vt:lpstr>_42h_E24</vt:lpstr>
      <vt:lpstr>_42h_E25</vt:lpstr>
      <vt:lpstr>_42h_E26</vt:lpstr>
      <vt:lpstr>_42h_E27</vt:lpstr>
      <vt:lpstr>_42h_E28</vt:lpstr>
      <vt:lpstr>_42h_E29</vt:lpstr>
      <vt:lpstr>_42h_E30</vt:lpstr>
      <vt:lpstr>_42h_E31</vt:lpstr>
      <vt:lpstr>_42h_E32</vt:lpstr>
      <vt:lpstr>_42h_E33</vt:lpstr>
      <vt:lpstr>_42h_E34</vt:lpstr>
      <vt:lpstr>_42h_E35</vt:lpstr>
      <vt:lpstr>_42h_E36</vt:lpstr>
      <vt:lpstr>_42h_E37</vt:lpstr>
      <vt:lpstr>_42h_E38</vt:lpstr>
      <vt:lpstr>_42h_E39</vt:lpstr>
      <vt:lpstr>_42h_E40</vt:lpstr>
      <vt:lpstr>_42h_E41</vt:lpstr>
      <vt:lpstr>_42h_E42</vt:lpstr>
      <vt:lpstr>_42h_E43</vt:lpstr>
      <vt:lpstr>_42h_E44</vt:lpstr>
      <vt:lpstr>_42h_E45</vt:lpstr>
      <vt:lpstr>_42h_E46</vt:lpstr>
      <vt:lpstr>_42h_E47</vt:lpstr>
      <vt:lpstr>_42h_E48</vt:lpstr>
      <vt:lpstr>_42h_E49</vt:lpstr>
      <vt:lpstr>_42h_E50</vt:lpstr>
      <vt:lpstr>_42h_E51</vt:lpstr>
      <vt:lpstr>_42h_E53</vt:lpstr>
      <vt:lpstr>_42h_E54</vt:lpstr>
      <vt:lpstr>_42h_E55</vt:lpstr>
      <vt:lpstr>_42h_E56</vt:lpstr>
      <vt:lpstr>_42h_E57</vt:lpstr>
      <vt:lpstr>_42h_E58</vt:lpstr>
      <vt:lpstr>_42h_E59</vt:lpstr>
      <vt:lpstr>_42h_E60</vt:lpstr>
      <vt:lpstr>_42h_E61</vt:lpstr>
      <vt:lpstr>_42h_E62</vt:lpstr>
      <vt:lpstr>_42h_E64</vt:lpstr>
      <vt:lpstr>_42h_E65</vt:lpstr>
      <vt:lpstr>_42h_E7</vt:lpstr>
      <vt:lpstr>_42h_E8</vt:lpstr>
      <vt:lpstr>_42h_E9</vt:lpstr>
      <vt:lpstr>_42h_F10</vt:lpstr>
      <vt:lpstr>_42h_F11</vt:lpstr>
      <vt:lpstr>_42h_F12</vt:lpstr>
      <vt:lpstr>_42h_F13</vt:lpstr>
      <vt:lpstr>_42h_F14</vt:lpstr>
      <vt:lpstr>_42h_F15</vt:lpstr>
      <vt:lpstr>_42h_F16</vt:lpstr>
      <vt:lpstr>_42h_F17</vt:lpstr>
      <vt:lpstr>_42h_F18</vt:lpstr>
      <vt:lpstr>_42h_F19</vt:lpstr>
      <vt:lpstr>_42h_F20</vt:lpstr>
      <vt:lpstr>_42h_F21</vt:lpstr>
      <vt:lpstr>_42h_F22</vt:lpstr>
      <vt:lpstr>_42h_F23</vt:lpstr>
      <vt:lpstr>_42h_F24</vt:lpstr>
      <vt:lpstr>_42h_F25</vt:lpstr>
      <vt:lpstr>_42h_F26</vt:lpstr>
      <vt:lpstr>_42h_F27</vt:lpstr>
      <vt:lpstr>_42h_F28</vt:lpstr>
      <vt:lpstr>_42h_F29</vt:lpstr>
      <vt:lpstr>_42h_F30</vt:lpstr>
      <vt:lpstr>_42h_F31</vt:lpstr>
      <vt:lpstr>_42h_F32</vt:lpstr>
      <vt:lpstr>_42h_F33</vt:lpstr>
      <vt:lpstr>_42h_F34</vt:lpstr>
      <vt:lpstr>_42h_F35</vt:lpstr>
      <vt:lpstr>_42h_F36</vt:lpstr>
      <vt:lpstr>_42h_F37</vt:lpstr>
      <vt:lpstr>_42h_F38</vt:lpstr>
      <vt:lpstr>_42h_F39</vt:lpstr>
      <vt:lpstr>_42h_F40</vt:lpstr>
      <vt:lpstr>_42h_F41</vt:lpstr>
      <vt:lpstr>_42h_F42</vt:lpstr>
      <vt:lpstr>_42h_F43</vt:lpstr>
      <vt:lpstr>_42h_F44</vt:lpstr>
      <vt:lpstr>_42h_F45</vt:lpstr>
      <vt:lpstr>_42h_F46</vt:lpstr>
      <vt:lpstr>_42h_F47</vt:lpstr>
      <vt:lpstr>_42h_F48</vt:lpstr>
      <vt:lpstr>_42h_F49</vt:lpstr>
      <vt:lpstr>_42h_F50</vt:lpstr>
      <vt:lpstr>_42h_F51</vt:lpstr>
      <vt:lpstr>_42h_F53</vt:lpstr>
      <vt:lpstr>_42h_F54</vt:lpstr>
      <vt:lpstr>_42h_F55</vt:lpstr>
      <vt:lpstr>_42h_F56</vt:lpstr>
      <vt:lpstr>_42h_F57</vt:lpstr>
      <vt:lpstr>_42h_F58</vt:lpstr>
      <vt:lpstr>_42h_F59</vt:lpstr>
      <vt:lpstr>_42h_F60</vt:lpstr>
      <vt:lpstr>_42h_F61</vt:lpstr>
      <vt:lpstr>_42h_F62</vt:lpstr>
      <vt:lpstr>_42h_F64</vt:lpstr>
      <vt:lpstr>_42h_F65</vt:lpstr>
      <vt:lpstr>_42h_F7</vt:lpstr>
      <vt:lpstr>_42h_F8</vt:lpstr>
      <vt:lpstr>_42h_F9</vt:lpstr>
      <vt:lpstr>_43h_E10</vt:lpstr>
      <vt:lpstr>_43h_E11</vt:lpstr>
      <vt:lpstr>_43h_E12</vt:lpstr>
      <vt:lpstr>_43h_E13</vt:lpstr>
      <vt:lpstr>_43h_E14</vt:lpstr>
      <vt:lpstr>_43h_E15</vt:lpstr>
      <vt:lpstr>_43h_E16</vt:lpstr>
      <vt:lpstr>_43h_E17</vt:lpstr>
      <vt:lpstr>_43h_E18</vt:lpstr>
      <vt:lpstr>_43h_E19</vt:lpstr>
      <vt:lpstr>_43h_E20</vt:lpstr>
      <vt:lpstr>_43h_E21</vt:lpstr>
      <vt:lpstr>_43h_E22</vt:lpstr>
      <vt:lpstr>_43h_E23</vt:lpstr>
      <vt:lpstr>_43h_E24</vt:lpstr>
      <vt:lpstr>_43h_E25</vt:lpstr>
      <vt:lpstr>_43h_E26</vt:lpstr>
      <vt:lpstr>_43h_E27</vt:lpstr>
      <vt:lpstr>_43h_E28</vt:lpstr>
      <vt:lpstr>_43h_E29</vt:lpstr>
      <vt:lpstr>_43h_E30</vt:lpstr>
      <vt:lpstr>_43h_E31</vt:lpstr>
      <vt:lpstr>_43h_E32</vt:lpstr>
      <vt:lpstr>_43h_E33</vt:lpstr>
      <vt:lpstr>_43h_E34</vt:lpstr>
      <vt:lpstr>_43h_E35</vt:lpstr>
      <vt:lpstr>_43h_E36</vt:lpstr>
      <vt:lpstr>_43h_E37</vt:lpstr>
      <vt:lpstr>_43h_E38</vt:lpstr>
      <vt:lpstr>_43h_E39</vt:lpstr>
      <vt:lpstr>_43h_E40</vt:lpstr>
      <vt:lpstr>_43h_E41</vt:lpstr>
      <vt:lpstr>_43h_E42</vt:lpstr>
      <vt:lpstr>_43h_E43</vt:lpstr>
      <vt:lpstr>_43h_E44</vt:lpstr>
      <vt:lpstr>_43h_E45</vt:lpstr>
      <vt:lpstr>_43h_E46</vt:lpstr>
      <vt:lpstr>_43h_E47</vt:lpstr>
      <vt:lpstr>_43h_E48</vt:lpstr>
      <vt:lpstr>_43h_E49</vt:lpstr>
      <vt:lpstr>_43h_E50</vt:lpstr>
      <vt:lpstr>_43h_E51</vt:lpstr>
      <vt:lpstr>_43h_E53</vt:lpstr>
      <vt:lpstr>_43h_E54</vt:lpstr>
      <vt:lpstr>_43h_E55</vt:lpstr>
      <vt:lpstr>_43h_E56</vt:lpstr>
      <vt:lpstr>_43h_E57</vt:lpstr>
      <vt:lpstr>_43h_E58</vt:lpstr>
      <vt:lpstr>_43h_E59</vt:lpstr>
      <vt:lpstr>_43h_E60</vt:lpstr>
      <vt:lpstr>_43h_E61</vt:lpstr>
      <vt:lpstr>_43h_E62</vt:lpstr>
      <vt:lpstr>_43h_E64</vt:lpstr>
      <vt:lpstr>_43h_E65</vt:lpstr>
      <vt:lpstr>_43h_E7</vt:lpstr>
      <vt:lpstr>_43h_E8</vt:lpstr>
      <vt:lpstr>_43h_E9</vt:lpstr>
      <vt:lpstr>_43h_F10</vt:lpstr>
      <vt:lpstr>_43h_F11</vt:lpstr>
      <vt:lpstr>_43h_F12</vt:lpstr>
      <vt:lpstr>_43h_F13</vt:lpstr>
      <vt:lpstr>_43h_F14</vt:lpstr>
      <vt:lpstr>_43h_F15</vt:lpstr>
      <vt:lpstr>_43h_F16</vt:lpstr>
      <vt:lpstr>_43h_F17</vt:lpstr>
      <vt:lpstr>_43h_F18</vt:lpstr>
      <vt:lpstr>_43h_F19</vt:lpstr>
      <vt:lpstr>_43h_F20</vt:lpstr>
      <vt:lpstr>_43h_F21</vt:lpstr>
      <vt:lpstr>_43h_F22</vt:lpstr>
      <vt:lpstr>_43h_F23</vt:lpstr>
      <vt:lpstr>_43h_F24</vt:lpstr>
      <vt:lpstr>_43h_F25</vt:lpstr>
      <vt:lpstr>_43h_F26</vt:lpstr>
      <vt:lpstr>_43h_F27</vt:lpstr>
      <vt:lpstr>_43h_F28</vt:lpstr>
      <vt:lpstr>_43h_F29</vt:lpstr>
      <vt:lpstr>_43h_F30</vt:lpstr>
      <vt:lpstr>_43h_F31</vt:lpstr>
      <vt:lpstr>_43h_F32</vt:lpstr>
      <vt:lpstr>_43h_F33</vt:lpstr>
      <vt:lpstr>_43h_F34</vt:lpstr>
      <vt:lpstr>_43h_F35</vt:lpstr>
      <vt:lpstr>_43h_F36</vt:lpstr>
      <vt:lpstr>_43h_F37</vt:lpstr>
      <vt:lpstr>_43h_F38</vt:lpstr>
      <vt:lpstr>_43h_F39</vt:lpstr>
      <vt:lpstr>_43h_F40</vt:lpstr>
      <vt:lpstr>_43h_F41</vt:lpstr>
      <vt:lpstr>_43h_F42</vt:lpstr>
      <vt:lpstr>_43h_F43</vt:lpstr>
      <vt:lpstr>_43h_F44</vt:lpstr>
      <vt:lpstr>_43h_F45</vt:lpstr>
      <vt:lpstr>_43h_F46</vt:lpstr>
      <vt:lpstr>_43h_F47</vt:lpstr>
      <vt:lpstr>_43h_F48</vt:lpstr>
      <vt:lpstr>_43h_F49</vt:lpstr>
      <vt:lpstr>_43h_F50</vt:lpstr>
      <vt:lpstr>_43h_F51</vt:lpstr>
      <vt:lpstr>_43h_F53</vt:lpstr>
      <vt:lpstr>_43h_F54</vt:lpstr>
      <vt:lpstr>_43h_F55</vt:lpstr>
      <vt:lpstr>_43h_F56</vt:lpstr>
      <vt:lpstr>_43h_F57</vt:lpstr>
      <vt:lpstr>_43h_F58</vt:lpstr>
      <vt:lpstr>_43h_F59</vt:lpstr>
      <vt:lpstr>_43h_F60</vt:lpstr>
      <vt:lpstr>_43h_F61</vt:lpstr>
      <vt:lpstr>_43h_F62</vt:lpstr>
      <vt:lpstr>_43h_F64</vt:lpstr>
      <vt:lpstr>_43h_F65</vt:lpstr>
      <vt:lpstr>_43h_F7</vt:lpstr>
      <vt:lpstr>_43h_F8</vt:lpstr>
      <vt:lpstr>_43h_F9</vt:lpstr>
      <vt:lpstr>_44h_E10</vt:lpstr>
      <vt:lpstr>_44h_E11</vt:lpstr>
      <vt:lpstr>_44h_E12</vt:lpstr>
      <vt:lpstr>_44h_E13</vt:lpstr>
      <vt:lpstr>_44h_E14</vt:lpstr>
      <vt:lpstr>_44h_E15</vt:lpstr>
      <vt:lpstr>_44h_E16</vt:lpstr>
      <vt:lpstr>_44h_E17</vt:lpstr>
      <vt:lpstr>_44h_E18</vt:lpstr>
      <vt:lpstr>_44h_E19</vt:lpstr>
      <vt:lpstr>_44h_E20</vt:lpstr>
      <vt:lpstr>_44h_E21</vt:lpstr>
      <vt:lpstr>_44h_E22</vt:lpstr>
      <vt:lpstr>_44h_E23</vt:lpstr>
      <vt:lpstr>_44h_E24</vt:lpstr>
      <vt:lpstr>_44h_E25</vt:lpstr>
      <vt:lpstr>_44h_E26</vt:lpstr>
      <vt:lpstr>_44h_E27</vt:lpstr>
      <vt:lpstr>_44h_E28</vt:lpstr>
      <vt:lpstr>_44h_E29</vt:lpstr>
      <vt:lpstr>_44h_E30</vt:lpstr>
      <vt:lpstr>_44h_E31</vt:lpstr>
      <vt:lpstr>_44h_E32</vt:lpstr>
      <vt:lpstr>_44h_E33</vt:lpstr>
      <vt:lpstr>_44h_E34</vt:lpstr>
      <vt:lpstr>_44h_E35</vt:lpstr>
      <vt:lpstr>_44h_E36</vt:lpstr>
      <vt:lpstr>_44h_E37</vt:lpstr>
      <vt:lpstr>_44h_E38</vt:lpstr>
      <vt:lpstr>_44h_E39</vt:lpstr>
      <vt:lpstr>_44h_E40</vt:lpstr>
      <vt:lpstr>_44h_E41</vt:lpstr>
      <vt:lpstr>_44h_E42</vt:lpstr>
      <vt:lpstr>_44h_E43</vt:lpstr>
      <vt:lpstr>_44h_E44</vt:lpstr>
      <vt:lpstr>_44h_E45</vt:lpstr>
      <vt:lpstr>_44h_E46</vt:lpstr>
      <vt:lpstr>_44h_E47</vt:lpstr>
      <vt:lpstr>_44h_E48</vt:lpstr>
      <vt:lpstr>_44h_E49</vt:lpstr>
      <vt:lpstr>_44h_E50</vt:lpstr>
      <vt:lpstr>_44h_E51</vt:lpstr>
      <vt:lpstr>_44h_E53</vt:lpstr>
      <vt:lpstr>_44h_E54</vt:lpstr>
      <vt:lpstr>_44h_E55</vt:lpstr>
      <vt:lpstr>_44h_E56</vt:lpstr>
      <vt:lpstr>_44h_E57</vt:lpstr>
      <vt:lpstr>_44h_E58</vt:lpstr>
      <vt:lpstr>_44h_E59</vt:lpstr>
      <vt:lpstr>_44h_E60</vt:lpstr>
      <vt:lpstr>_44h_E61</vt:lpstr>
      <vt:lpstr>_44h_E62</vt:lpstr>
      <vt:lpstr>_44h_E64</vt:lpstr>
      <vt:lpstr>_44h_E65</vt:lpstr>
      <vt:lpstr>_44h_E7</vt:lpstr>
      <vt:lpstr>_44h_E8</vt:lpstr>
      <vt:lpstr>_44h_E9</vt:lpstr>
      <vt:lpstr>_44h_F10</vt:lpstr>
      <vt:lpstr>_44h_F11</vt:lpstr>
      <vt:lpstr>_44h_F12</vt:lpstr>
      <vt:lpstr>_44h_F13</vt:lpstr>
      <vt:lpstr>_44h_F14</vt:lpstr>
      <vt:lpstr>_44h_F15</vt:lpstr>
      <vt:lpstr>_44h_F16</vt:lpstr>
      <vt:lpstr>_44h_F17</vt:lpstr>
      <vt:lpstr>_44h_F18</vt:lpstr>
      <vt:lpstr>_44h_F19</vt:lpstr>
      <vt:lpstr>_44h_F20</vt:lpstr>
      <vt:lpstr>_44h_F21</vt:lpstr>
      <vt:lpstr>_44h_F22</vt:lpstr>
      <vt:lpstr>_44h_F23</vt:lpstr>
      <vt:lpstr>_44h_F24</vt:lpstr>
      <vt:lpstr>_44h_F25</vt:lpstr>
      <vt:lpstr>_44h_F26</vt:lpstr>
      <vt:lpstr>_44h_F27</vt:lpstr>
      <vt:lpstr>_44h_F28</vt:lpstr>
      <vt:lpstr>_44h_F29</vt:lpstr>
      <vt:lpstr>_44h_F30</vt:lpstr>
      <vt:lpstr>_44h_F31</vt:lpstr>
      <vt:lpstr>_44h_F32</vt:lpstr>
      <vt:lpstr>_44h_F33</vt:lpstr>
      <vt:lpstr>_44h_F34</vt:lpstr>
      <vt:lpstr>_44h_F35</vt:lpstr>
      <vt:lpstr>_44h_F36</vt:lpstr>
      <vt:lpstr>_44h_F37</vt:lpstr>
      <vt:lpstr>_44h_F38</vt:lpstr>
      <vt:lpstr>_44h_F39</vt:lpstr>
      <vt:lpstr>_44h_F40</vt:lpstr>
      <vt:lpstr>_44h_F41</vt:lpstr>
      <vt:lpstr>_44h_F42</vt:lpstr>
      <vt:lpstr>_44h_F43</vt:lpstr>
      <vt:lpstr>_44h_F44</vt:lpstr>
      <vt:lpstr>_44h_F45</vt:lpstr>
      <vt:lpstr>_44h_F46</vt:lpstr>
      <vt:lpstr>_44h_F47</vt:lpstr>
      <vt:lpstr>_44h_F48</vt:lpstr>
      <vt:lpstr>_44h_F49</vt:lpstr>
      <vt:lpstr>_44h_F50</vt:lpstr>
      <vt:lpstr>_44h_F51</vt:lpstr>
      <vt:lpstr>_44h_F53</vt:lpstr>
      <vt:lpstr>_44h_F54</vt:lpstr>
      <vt:lpstr>_44h_F55</vt:lpstr>
      <vt:lpstr>_44h_F56</vt:lpstr>
      <vt:lpstr>_44h_F57</vt:lpstr>
      <vt:lpstr>_44h_F58</vt:lpstr>
      <vt:lpstr>_44h_F59</vt:lpstr>
      <vt:lpstr>_44h_F60</vt:lpstr>
      <vt:lpstr>_44h_F61</vt:lpstr>
      <vt:lpstr>_44h_F62</vt:lpstr>
      <vt:lpstr>_44h_F64</vt:lpstr>
      <vt:lpstr>_44h_F65</vt:lpstr>
      <vt:lpstr>_44h_F7</vt:lpstr>
      <vt:lpstr>_44h_F8</vt:lpstr>
      <vt:lpstr>_44h_F9</vt:lpstr>
      <vt:lpstr>_45h_E10</vt:lpstr>
      <vt:lpstr>_45h_E11</vt:lpstr>
      <vt:lpstr>_45h_E12</vt:lpstr>
      <vt:lpstr>_45h_E13</vt:lpstr>
      <vt:lpstr>_45h_E14</vt:lpstr>
      <vt:lpstr>_45h_E15</vt:lpstr>
      <vt:lpstr>_45h_E16</vt:lpstr>
      <vt:lpstr>_45h_E17</vt:lpstr>
      <vt:lpstr>_45h_E18</vt:lpstr>
      <vt:lpstr>_45h_E19</vt:lpstr>
      <vt:lpstr>_45h_E20</vt:lpstr>
      <vt:lpstr>_45h_E21</vt:lpstr>
      <vt:lpstr>_45h_E22</vt:lpstr>
      <vt:lpstr>_45h_E23</vt:lpstr>
      <vt:lpstr>_45h_E24</vt:lpstr>
      <vt:lpstr>_45h_E25</vt:lpstr>
      <vt:lpstr>_45h_E26</vt:lpstr>
      <vt:lpstr>_45h_E27</vt:lpstr>
      <vt:lpstr>_45h_E28</vt:lpstr>
      <vt:lpstr>_45h_E29</vt:lpstr>
      <vt:lpstr>_45h_E30</vt:lpstr>
      <vt:lpstr>_45h_E31</vt:lpstr>
      <vt:lpstr>_45h_E32</vt:lpstr>
      <vt:lpstr>_45h_E33</vt:lpstr>
      <vt:lpstr>_45h_E34</vt:lpstr>
      <vt:lpstr>_45h_E35</vt:lpstr>
      <vt:lpstr>_45h_E36</vt:lpstr>
      <vt:lpstr>_45h_E37</vt:lpstr>
      <vt:lpstr>_45h_E38</vt:lpstr>
      <vt:lpstr>_45h_E39</vt:lpstr>
      <vt:lpstr>_45h_E40</vt:lpstr>
      <vt:lpstr>_45h_E41</vt:lpstr>
      <vt:lpstr>_45h_E42</vt:lpstr>
      <vt:lpstr>_45h_E43</vt:lpstr>
      <vt:lpstr>_45h_E44</vt:lpstr>
      <vt:lpstr>_45h_E45</vt:lpstr>
      <vt:lpstr>_45h_E46</vt:lpstr>
      <vt:lpstr>_45h_E47</vt:lpstr>
      <vt:lpstr>_45h_E48</vt:lpstr>
      <vt:lpstr>_45h_E49</vt:lpstr>
      <vt:lpstr>_45h_E50</vt:lpstr>
      <vt:lpstr>_45h_E51</vt:lpstr>
      <vt:lpstr>_45h_E53</vt:lpstr>
      <vt:lpstr>_45h_E54</vt:lpstr>
      <vt:lpstr>_45h_E55</vt:lpstr>
      <vt:lpstr>_45h_E56</vt:lpstr>
      <vt:lpstr>_45h_E57</vt:lpstr>
      <vt:lpstr>_45h_E58</vt:lpstr>
      <vt:lpstr>_45h_E59</vt:lpstr>
      <vt:lpstr>_45h_E60</vt:lpstr>
      <vt:lpstr>_45h_E61</vt:lpstr>
      <vt:lpstr>_45h_E62</vt:lpstr>
      <vt:lpstr>_45h_E64</vt:lpstr>
      <vt:lpstr>_45h_E65</vt:lpstr>
      <vt:lpstr>_45h_E7</vt:lpstr>
      <vt:lpstr>_45h_E8</vt:lpstr>
      <vt:lpstr>_45h_E9</vt:lpstr>
      <vt:lpstr>_45h_F10</vt:lpstr>
      <vt:lpstr>_45h_F11</vt:lpstr>
      <vt:lpstr>_45h_F12</vt:lpstr>
      <vt:lpstr>_45h_F13</vt:lpstr>
      <vt:lpstr>_45h_F14</vt:lpstr>
      <vt:lpstr>_45h_F15</vt:lpstr>
      <vt:lpstr>_45h_F16</vt:lpstr>
      <vt:lpstr>_45h_F17</vt:lpstr>
      <vt:lpstr>_45h_F18</vt:lpstr>
      <vt:lpstr>_45h_F19</vt:lpstr>
      <vt:lpstr>_45h_F20</vt:lpstr>
      <vt:lpstr>_45h_F21</vt:lpstr>
      <vt:lpstr>_45h_F22</vt:lpstr>
      <vt:lpstr>_45h_F23</vt:lpstr>
      <vt:lpstr>_45h_F24</vt:lpstr>
      <vt:lpstr>_45h_F25</vt:lpstr>
      <vt:lpstr>_45h_F26</vt:lpstr>
      <vt:lpstr>_45h_F27</vt:lpstr>
      <vt:lpstr>_45h_F28</vt:lpstr>
      <vt:lpstr>_45h_F29</vt:lpstr>
      <vt:lpstr>_45h_F30</vt:lpstr>
      <vt:lpstr>_45h_F31</vt:lpstr>
      <vt:lpstr>_45h_F32</vt:lpstr>
      <vt:lpstr>_45h_F33</vt:lpstr>
      <vt:lpstr>_45h_F34</vt:lpstr>
      <vt:lpstr>_45h_F35</vt:lpstr>
      <vt:lpstr>_45h_F36</vt:lpstr>
      <vt:lpstr>_45h_F37</vt:lpstr>
      <vt:lpstr>_45h_F38</vt:lpstr>
      <vt:lpstr>_45h_F39</vt:lpstr>
      <vt:lpstr>_45h_F40</vt:lpstr>
      <vt:lpstr>_45h_F41</vt:lpstr>
      <vt:lpstr>_45h_F42</vt:lpstr>
      <vt:lpstr>_45h_F43</vt:lpstr>
      <vt:lpstr>_45h_F44</vt:lpstr>
      <vt:lpstr>_45h_F45</vt:lpstr>
      <vt:lpstr>_45h_F46</vt:lpstr>
      <vt:lpstr>_45h_F47</vt:lpstr>
      <vt:lpstr>_45h_F48</vt:lpstr>
      <vt:lpstr>_45h_F49</vt:lpstr>
      <vt:lpstr>_45h_F50</vt:lpstr>
      <vt:lpstr>_45h_F51</vt:lpstr>
      <vt:lpstr>_45h_F53</vt:lpstr>
      <vt:lpstr>_45h_F54</vt:lpstr>
      <vt:lpstr>_45h_F55</vt:lpstr>
      <vt:lpstr>_45h_F56</vt:lpstr>
      <vt:lpstr>_45h_F57</vt:lpstr>
      <vt:lpstr>_45h_F58</vt:lpstr>
      <vt:lpstr>_45h_F59</vt:lpstr>
      <vt:lpstr>_45h_F60</vt:lpstr>
      <vt:lpstr>_45h_F61</vt:lpstr>
      <vt:lpstr>_45h_F62</vt:lpstr>
      <vt:lpstr>_45h_F64</vt:lpstr>
      <vt:lpstr>_45h_F65</vt:lpstr>
      <vt:lpstr>_45h_F7</vt:lpstr>
      <vt:lpstr>_45h_F8</vt:lpstr>
      <vt:lpstr>_45h_F9</vt:lpstr>
      <vt:lpstr>_46h_E10</vt:lpstr>
      <vt:lpstr>_46h_E11</vt:lpstr>
      <vt:lpstr>_46h_E12</vt:lpstr>
      <vt:lpstr>_46h_E13</vt:lpstr>
      <vt:lpstr>_46h_E14</vt:lpstr>
      <vt:lpstr>_46h_E15</vt:lpstr>
      <vt:lpstr>_46h_E16</vt:lpstr>
      <vt:lpstr>_46h_E17</vt:lpstr>
      <vt:lpstr>_46h_E18</vt:lpstr>
      <vt:lpstr>_46h_E19</vt:lpstr>
      <vt:lpstr>_46h_E20</vt:lpstr>
      <vt:lpstr>_46h_E21</vt:lpstr>
      <vt:lpstr>_46h_E22</vt:lpstr>
      <vt:lpstr>_46h_E23</vt:lpstr>
      <vt:lpstr>_46h_E24</vt:lpstr>
      <vt:lpstr>_46h_E25</vt:lpstr>
      <vt:lpstr>_46h_E26</vt:lpstr>
      <vt:lpstr>_46h_E27</vt:lpstr>
      <vt:lpstr>_46h_E28</vt:lpstr>
      <vt:lpstr>_46h_E29</vt:lpstr>
      <vt:lpstr>_46h_E30</vt:lpstr>
      <vt:lpstr>_46h_E31</vt:lpstr>
      <vt:lpstr>_46h_E32</vt:lpstr>
      <vt:lpstr>_46h_E33</vt:lpstr>
      <vt:lpstr>_46h_E34</vt:lpstr>
      <vt:lpstr>_46h_E35</vt:lpstr>
      <vt:lpstr>_46h_E36</vt:lpstr>
      <vt:lpstr>_46h_E37</vt:lpstr>
      <vt:lpstr>_46h_E38</vt:lpstr>
      <vt:lpstr>_46h_E39</vt:lpstr>
      <vt:lpstr>_46h_E40</vt:lpstr>
      <vt:lpstr>_46h_E41</vt:lpstr>
      <vt:lpstr>_46h_E42</vt:lpstr>
      <vt:lpstr>_46h_E43</vt:lpstr>
      <vt:lpstr>_46h_E44</vt:lpstr>
      <vt:lpstr>_46h_E45</vt:lpstr>
      <vt:lpstr>_46h_E46</vt:lpstr>
      <vt:lpstr>_46h_E47</vt:lpstr>
      <vt:lpstr>_46h_E48</vt:lpstr>
      <vt:lpstr>_46h_E49</vt:lpstr>
      <vt:lpstr>_46h_E50</vt:lpstr>
      <vt:lpstr>_46h_E51</vt:lpstr>
      <vt:lpstr>_46h_E53</vt:lpstr>
      <vt:lpstr>_46h_E54</vt:lpstr>
      <vt:lpstr>_46h_E55</vt:lpstr>
      <vt:lpstr>_46h_E56</vt:lpstr>
      <vt:lpstr>_46h_E57</vt:lpstr>
      <vt:lpstr>_46h_E58</vt:lpstr>
      <vt:lpstr>_46h_E59</vt:lpstr>
      <vt:lpstr>_46h_E60</vt:lpstr>
      <vt:lpstr>_46h_E61</vt:lpstr>
      <vt:lpstr>_46h_E62</vt:lpstr>
      <vt:lpstr>_46h_E64</vt:lpstr>
      <vt:lpstr>_46h_E65</vt:lpstr>
      <vt:lpstr>_46h_E7</vt:lpstr>
      <vt:lpstr>_46h_E8</vt:lpstr>
      <vt:lpstr>_46h_E9</vt:lpstr>
      <vt:lpstr>_46h_F10</vt:lpstr>
      <vt:lpstr>_46h_F11</vt:lpstr>
      <vt:lpstr>_46h_F12</vt:lpstr>
      <vt:lpstr>_46h_F13</vt:lpstr>
      <vt:lpstr>_46h_F14</vt:lpstr>
      <vt:lpstr>_46h_F15</vt:lpstr>
      <vt:lpstr>_46h_F16</vt:lpstr>
      <vt:lpstr>_46h_F17</vt:lpstr>
      <vt:lpstr>_46h_F18</vt:lpstr>
      <vt:lpstr>_46h_F19</vt:lpstr>
      <vt:lpstr>_46h_F20</vt:lpstr>
      <vt:lpstr>_46h_F21</vt:lpstr>
      <vt:lpstr>_46h_F22</vt:lpstr>
      <vt:lpstr>_46h_F23</vt:lpstr>
      <vt:lpstr>_46h_F24</vt:lpstr>
      <vt:lpstr>_46h_F25</vt:lpstr>
      <vt:lpstr>_46h_F26</vt:lpstr>
      <vt:lpstr>_46h_F27</vt:lpstr>
      <vt:lpstr>_46h_F28</vt:lpstr>
      <vt:lpstr>_46h_F29</vt:lpstr>
      <vt:lpstr>_46h_F30</vt:lpstr>
      <vt:lpstr>_46h_F31</vt:lpstr>
      <vt:lpstr>_46h_F32</vt:lpstr>
      <vt:lpstr>_46h_F33</vt:lpstr>
      <vt:lpstr>_46h_F34</vt:lpstr>
      <vt:lpstr>_46h_F35</vt:lpstr>
      <vt:lpstr>_46h_F36</vt:lpstr>
      <vt:lpstr>_46h_F37</vt:lpstr>
      <vt:lpstr>_46h_F38</vt:lpstr>
      <vt:lpstr>_46h_F39</vt:lpstr>
      <vt:lpstr>_46h_F40</vt:lpstr>
      <vt:lpstr>_46h_F41</vt:lpstr>
      <vt:lpstr>_46h_F42</vt:lpstr>
      <vt:lpstr>_46h_F43</vt:lpstr>
      <vt:lpstr>_46h_F44</vt:lpstr>
      <vt:lpstr>_46h_F45</vt:lpstr>
      <vt:lpstr>_46h_F46</vt:lpstr>
      <vt:lpstr>_46h_F47</vt:lpstr>
      <vt:lpstr>_46h_F48</vt:lpstr>
      <vt:lpstr>_46h_F49</vt:lpstr>
      <vt:lpstr>_46h_F50</vt:lpstr>
      <vt:lpstr>_46h_F51</vt:lpstr>
      <vt:lpstr>_46h_F53</vt:lpstr>
      <vt:lpstr>_46h_F54</vt:lpstr>
      <vt:lpstr>_46h_F55</vt:lpstr>
      <vt:lpstr>_46h_F56</vt:lpstr>
      <vt:lpstr>_46h_F57</vt:lpstr>
      <vt:lpstr>_46h_F58</vt:lpstr>
      <vt:lpstr>_46h_F59</vt:lpstr>
      <vt:lpstr>_46h_F60</vt:lpstr>
      <vt:lpstr>_46h_F61</vt:lpstr>
      <vt:lpstr>_46h_F62</vt:lpstr>
      <vt:lpstr>_46h_F64</vt:lpstr>
      <vt:lpstr>_46h_F65</vt:lpstr>
      <vt:lpstr>_46h_F7</vt:lpstr>
      <vt:lpstr>_46h_F8</vt:lpstr>
      <vt:lpstr>_46h_F9</vt:lpstr>
      <vt:lpstr>_47h_E10</vt:lpstr>
      <vt:lpstr>_47h_E11</vt:lpstr>
      <vt:lpstr>_47h_E12</vt:lpstr>
      <vt:lpstr>_47h_E13</vt:lpstr>
      <vt:lpstr>_47h_E14</vt:lpstr>
      <vt:lpstr>_47h_E15</vt:lpstr>
      <vt:lpstr>_47h_E16</vt:lpstr>
      <vt:lpstr>_47h_E17</vt:lpstr>
      <vt:lpstr>_47h_E18</vt:lpstr>
      <vt:lpstr>_47h_E19</vt:lpstr>
      <vt:lpstr>_47h_E20</vt:lpstr>
      <vt:lpstr>_47h_E21</vt:lpstr>
      <vt:lpstr>_47h_E22</vt:lpstr>
      <vt:lpstr>_47h_E23</vt:lpstr>
      <vt:lpstr>_47h_E24</vt:lpstr>
      <vt:lpstr>_47h_E25</vt:lpstr>
      <vt:lpstr>_47h_E26</vt:lpstr>
      <vt:lpstr>_47h_E27</vt:lpstr>
      <vt:lpstr>_47h_E28</vt:lpstr>
      <vt:lpstr>_47h_E29</vt:lpstr>
      <vt:lpstr>_47h_E30</vt:lpstr>
      <vt:lpstr>_47h_E31</vt:lpstr>
      <vt:lpstr>_47h_E32</vt:lpstr>
      <vt:lpstr>_47h_E33</vt:lpstr>
      <vt:lpstr>_47h_E34</vt:lpstr>
      <vt:lpstr>_47h_E35</vt:lpstr>
      <vt:lpstr>_47h_E36</vt:lpstr>
      <vt:lpstr>_47h_E37</vt:lpstr>
      <vt:lpstr>_47h_E38</vt:lpstr>
      <vt:lpstr>_47h_E39</vt:lpstr>
      <vt:lpstr>_47h_E40</vt:lpstr>
      <vt:lpstr>_47h_E41</vt:lpstr>
      <vt:lpstr>_47h_E42</vt:lpstr>
      <vt:lpstr>_47h_E43</vt:lpstr>
      <vt:lpstr>_47h_E44</vt:lpstr>
      <vt:lpstr>_47h_E45</vt:lpstr>
      <vt:lpstr>_47h_E46</vt:lpstr>
      <vt:lpstr>_47h_E47</vt:lpstr>
      <vt:lpstr>_47h_E48</vt:lpstr>
      <vt:lpstr>_47h_E49</vt:lpstr>
      <vt:lpstr>_47h_E50</vt:lpstr>
      <vt:lpstr>_47h_E51</vt:lpstr>
      <vt:lpstr>_47h_E53</vt:lpstr>
      <vt:lpstr>_47h_E54</vt:lpstr>
      <vt:lpstr>_47h_E55</vt:lpstr>
      <vt:lpstr>_47h_E56</vt:lpstr>
      <vt:lpstr>_47h_E57</vt:lpstr>
      <vt:lpstr>_47h_E58</vt:lpstr>
      <vt:lpstr>_47h_E59</vt:lpstr>
      <vt:lpstr>_47h_E60</vt:lpstr>
      <vt:lpstr>_47h_E61</vt:lpstr>
      <vt:lpstr>_47h_E62</vt:lpstr>
      <vt:lpstr>_47h_E64</vt:lpstr>
      <vt:lpstr>_47h_E65</vt:lpstr>
      <vt:lpstr>_47h_E7</vt:lpstr>
      <vt:lpstr>_47h_E8</vt:lpstr>
      <vt:lpstr>_47h_E9</vt:lpstr>
      <vt:lpstr>_47h_F10</vt:lpstr>
      <vt:lpstr>_47h_F11</vt:lpstr>
      <vt:lpstr>_47h_F12</vt:lpstr>
      <vt:lpstr>_47h_F13</vt:lpstr>
      <vt:lpstr>_47h_F14</vt:lpstr>
      <vt:lpstr>_47h_F15</vt:lpstr>
      <vt:lpstr>_47h_F16</vt:lpstr>
      <vt:lpstr>_47h_F17</vt:lpstr>
      <vt:lpstr>_47h_F18</vt:lpstr>
      <vt:lpstr>_47h_F19</vt:lpstr>
      <vt:lpstr>_47h_F20</vt:lpstr>
      <vt:lpstr>_47h_F21</vt:lpstr>
      <vt:lpstr>_47h_F22</vt:lpstr>
      <vt:lpstr>_47h_F23</vt:lpstr>
      <vt:lpstr>_47h_F24</vt:lpstr>
      <vt:lpstr>_47h_F25</vt:lpstr>
      <vt:lpstr>_47h_F26</vt:lpstr>
      <vt:lpstr>_47h_F27</vt:lpstr>
      <vt:lpstr>_47h_F28</vt:lpstr>
      <vt:lpstr>_47h_F29</vt:lpstr>
      <vt:lpstr>_47h_F30</vt:lpstr>
      <vt:lpstr>_47h_F31</vt:lpstr>
      <vt:lpstr>_47h_F32</vt:lpstr>
      <vt:lpstr>_47h_F33</vt:lpstr>
      <vt:lpstr>_47h_F34</vt:lpstr>
      <vt:lpstr>_47h_F35</vt:lpstr>
      <vt:lpstr>_47h_F36</vt:lpstr>
      <vt:lpstr>_47h_F37</vt:lpstr>
      <vt:lpstr>_47h_F38</vt:lpstr>
      <vt:lpstr>_47h_F39</vt:lpstr>
      <vt:lpstr>_47h_F40</vt:lpstr>
      <vt:lpstr>_47h_F41</vt:lpstr>
      <vt:lpstr>_47h_F42</vt:lpstr>
      <vt:lpstr>_47h_F43</vt:lpstr>
      <vt:lpstr>_47h_F44</vt:lpstr>
      <vt:lpstr>_47h_F45</vt:lpstr>
      <vt:lpstr>_47h_F46</vt:lpstr>
      <vt:lpstr>_47h_F47</vt:lpstr>
      <vt:lpstr>_47h_F48</vt:lpstr>
      <vt:lpstr>_47h_F49</vt:lpstr>
      <vt:lpstr>_47h_F50</vt:lpstr>
      <vt:lpstr>_47h_F51</vt:lpstr>
      <vt:lpstr>_47h_F53</vt:lpstr>
      <vt:lpstr>_47h_F54</vt:lpstr>
      <vt:lpstr>_47h_F55</vt:lpstr>
      <vt:lpstr>_47h_F56</vt:lpstr>
      <vt:lpstr>_47h_F57</vt:lpstr>
      <vt:lpstr>_47h_F58</vt:lpstr>
      <vt:lpstr>_47h_F59</vt:lpstr>
      <vt:lpstr>_47h_F60</vt:lpstr>
      <vt:lpstr>_47h_F61</vt:lpstr>
      <vt:lpstr>_47h_F62</vt:lpstr>
      <vt:lpstr>_47h_F64</vt:lpstr>
      <vt:lpstr>_47h_F65</vt:lpstr>
      <vt:lpstr>_47h_F7</vt:lpstr>
      <vt:lpstr>_47h_F8</vt:lpstr>
      <vt:lpstr>_47h_F9</vt:lpstr>
      <vt:lpstr>_48h_E10</vt:lpstr>
      <vt:lpstr>_48h_E11</vt:lpstr>
      <vt:lpstr>_48h_E12</vt:lpstr>
      <vt:lpstr>_48h_E13</vt:lpstr>
      <vt:lpstr>_48h_E14</vt:lpstr>
      <vt:lpstr>_48h_E15</vt:lpstr>
      <vt:lpstr>_48h_E16</vt:lpstr>
      <vt:lpstr>_48h_E17</vt:lpstr>
      <vt:lpstr>_48h_E18</vt:lpstr>
      <vt:lpstr>_48h_E19</vt:lpstr>
      <vt:lpstr>_48h_E20</vt:lpstr>
      <vt:lpstr>_48h_E21</vt:lpstr>
      <vt:lpstr>_48h_E22</vt:lpstr>
      <vt:lpstr>_48h_E23</vt:lpstr>
      <vt:lpstr>_48h_E24</vt:lpstr>
      <vt:lpstr>_48h_E25</vt:lpstr>
      <vt:lpstr>_48h_E26</vt:lpstr>
      <vt:lpstr>_48h_E27</vt:lpstr>
      <vt:lpstr>_48h_E28</vt:lpstr>
      <vt:lpstr>_48h_E29</vt:lpstr>
      <vt:lpstr>_48h_E30</vt:lpstr>
      <vt:lpstr>_48h_E31</vt:lpstr>
      <vt:lpstr>_48h_E32</vt:lpstr>
      <vt:lpstr>_48h_E33</vt:lpstr>
      <vt:lpstr>_48h_E34</vt:lpstr>
      <vt:lpstr>_48h_E35</vt:lpstr>
      <vt:lpstr>_48h_E36</vt:lpstr>
      <vt:lpstr>_48h_E37</vt:lpstr>
      <vt:lpstr>_48h_E38</vt:lpstr>
      <vt:lpstr>_48h_E39</vt:lpstr>
      <vt:lpstr>_48h_E40</vt:lpstr>
      <vt:lpstr>_48h_E41</vt:lpstr>
      <vt:lpstr>_48h_E42</vt:lpstr>
      <vt:lpstr>_48h_E43</vt:lpstr>
      <vt:lpstr>_48h_E44</vt:lpstr>
      <vt:lpstr>_48h_E45</vt:lpstr>
      <vt:lpstr>_48h_E46</vt:lpstr>
      <vt:lpstr>_48h_E47</vt:lpstr>
      <vt:lpstr>_48h_E48</vt:lpstr>
      <vt:lpstr>_48h_E49</vt:lpstr>
      <vt:lpstr>_48h_E50</vt:lpstr>
      <vt:lpstr>_48h_E51</vt:lpstr>
      <vt:lpstr>_48h_E53</vt:lpstr>
      <vt:lpstr>_48h_E54</vt:lpstr>
      <vt:lpstr>_48h_E55</vt:lpstr>
      <vt:lpstr>_48h_E56</vt:lpstr>
      <vt:lpstr>_48h_E57</vt:lpstr>
      <vt:lpstr>_48h_E58</vt:lpstr>
      <vt:lpstr>_48h_E59</vt:lpstr>
      <vt:lpstr>_48h_E60</vt:lpstr>
      <vt:lpstr>_48h_E61</vt:lpstr>
      <vt:lpstr>_48h_E62</vt:lpstr>
      <vt:lpstr>_48h_E64</vt:lpstr>
      <vt:lpstr>_48h_E65</vt:lpstr>
      <vt:lpstr>_48h_E7</vt:lpstr>
      <vt:lpstr>_48h_E8</vt:lpstr>
      <vt:lpstr>_48h_E9</vt:lpstr>
      <vt:lpstr>_48h_F10</vt:lpstr>
      <vt:lpstr>_48h_F11</vt:lpstr>
      <vt:lpstr>_48h_F12</vt:lpstr>
      <vt:lpstr>_48h_F13</vt:lpstr>
      <vt:lpstr>_48h_F14</vt:lpstr>
      <vt:lpstr>_48h_F15</vt:lpstr>
      <vt:lpstr>_48h_F16</vt:lpstr>
      <vt:lpstr>_48h_F17</vt:lpstr>
      <vt:lpstr>_48h_F18</vt:lpstr>
      <vt:lpstr>_48h_F19</vt:lpstr>
      <vt:lpstr>_48h_F20</vt:lpstr>
      <vt:lpstr>_48h_F21</vt:lpstr>
      <vt:lpstr>_48h_F22</vt:lpstr>
      <vt:lpstr>_48h_F23</vt:lpstr>
      <vt:lpstr>_48h_F24</vt:lpstr>
      <vt:lpstr>_48h_F25</vt:lpstr>
      <vt:lpstr>_48h_F26</vt:lpstr>
      <vt:lpstr>_48h_F27</vt:lpstr>
      <vt:lpstr>_48h_F28</vt:lpstr>
      <vt:lpstr>_48h_F29</vt:lpstr>
      <vt:lpstr>_48h_F30</vt:lpstr>
      <vt:lpstr>_48h_F31</vt:lpstr>
      <vt:lpstr>_48h_F32</vt:lpstr>
      <vt:lpstr>_48h_F33</vt:lpstr>
      <vt:lpstr>_48h_F34</vt:lpstr>
      <vt:lpstr>_48h_F35</vt:lpstr>
      <vt:lpstr>_48h_F36</vt:lpstr>
      <vt:lpstr>_48h_F37</vt:lpstr>
      <vt:lpstr>_48h_F38</vt:lpstr>
      <vt:lpstr>_48h_F39</vt:lpstr>
      <vt:lpstr>_48h_F40</vt:lpstr>
      <vt:lpstr>_48h_F41</vt:lpstr>
      <vt:lpstr>_48h_F42</vt:lpstr>
      <vt:lpstr>_48h_F43</vt:lpstr>
      <vt:lpstr>_48h_F44</vt:lpstr>
      <vt:lpstr>_48h_F45</vt:lpstr>
      <vt:lpstr>_48h_F46</vt:lpstr>
      <vt:lpstr>_48h_F47</vt:lpstr>
      <vt:lpstr>_48h_F48</vt:lpstr>
      <vt:lpstr>_48h_F49</vt:lpstr>
      <vt:lpstr>_48h_F50</vt:lpstr>
      <vt:lpstr>_48h_F51</vt:lpstr>
      <vt:lpstr>_48h_F53</vt:lpstr>
      <vt:lpstr>_48h_F54</vt:lpstr>
      <vt:lpstr>_48h_F55</vt:lpstr>
      <vt:lpstr>_48h_F56</vt:lpstr>
      <vt:lpstr>_48h_F57</vt:lpstr>
      <vt:lpstr>_48h_F58</vt:lpstr>
      <vt:lpstr>_48h_F59</vt:lpstr>
      <vt:lpstr>_48h_F60</vt:lpstr>
      <vt:lpstr>_48h_F61</vt:lpstr>
      <vt:lpstr>_48h_F62</vt:lpstr>
      <vt:lpstr>_48h_F64</vt:lpstr>
      <vt:lpstr>_48h_F65</vt:lpstr>
      <vt:lpstr>_48h_F7</vt:lpstr>
      <vt:lpstr>_48h_F8</vt:lpstr>
      <vt:lpstr>_48h_F9</vt:lpstr>
      <vt:lpstr>_49h_E10</vt:lpstr>
      <vt:lpstr>_49h_E11</vt:lpstr>
      <vt:lpstr>_49h_E12</vt:lpstr>
      <vt:lpstr>_49h_E13</vt:lpstr>
      <vt:lpstr>_49h_E14</vt:lpstr>
      <vt:lpstr>_49h_E15</vt:lpstr>
      <vt:lpstr>_49h_E16</vt:lpstr>
      <vt:lpstr>_49h_E17</vt:lpstr>
      <vt:lpstr>_49h_E18</vt:lpstr>
      <vt:lpstr>_49h_E19</vt:lpstr>
      <vt:lpstr>_49h_E20</vt:lpstr>
      <vt:lpstr>_49h_E21</vt:lpstr>
      <vt:lpstr>_49h_E22</vt:lpstr>
      <vt:lpstr>_49h_E23</vt:lpstr>
      <vt:lpstr>_49h_E24</vt:lpstr>
      <vt:lpstr>_49h_E25</vt:lpstr>
      <vt:lpstr>_49h_E26</vt:lpstr>
      <vt:lpstr>_49h_E27</vt:lpstr>
      <vt:lpstr>_49h_E28</vt:lpstr>
      <vt:lpstr>_49h_E29</vt:lpstr>
      <vt:lpstr>_49h_E30</vt:lpstr>
      <vt:lpstr>_49h_E31</vt:lpstr>
      <vt:lpstr>_49h_E32</vt:lpstr>
      <vt:lpstr>_49h_E33</vt:lpstr>
      <vt:lpstr>_49h_E34</vt:lpstr>
      <vt:lpstr>_49h_E35</vt:lpstr>
      <vt:lpstr>_49h_E36</vt:lpstr>
      <vt:lpstr>_49h_E37</vt:lpstr>
      <vt:lpstr>_49h_E38</vt:lpstr>
      <vt:lpstr>_49h_E39</vt:lpstr>
      <vt:lpstr>_49h_E40</vt:lpstr>
      <vt:lpstr>_49h_E41</vt:lpstr>
      <vt:lpstr>_49h_E42</vt:lpstr>
      <vt:lpstr>_49h_E43</vt:lpstr>
      <vt:lpstr>_49h_E44</vt:lpstr>
      <vt:lpstr>_49h_E45</vt:lpstr>
      <vt:lpstr>_49h_E46</vt:lpstr>
      <vt:lpstr>_49h_E47</vt:lpstr>
      <vt:lpstr>_49h_E48</vt:lpstr>
      <vt:lpstr>_49h_E49</vt:lpstr>
      <vt:lpstr>_49h_E50</vt:lpstr>
      <vt:lpstr>_49h_E51</vt:lpstr>
      <vt:lpstr>_49h_E53</vt:lpstr>
      <vt:lpstr>_49h_E54</vt:lpstr>
      <vt:lpstr>_49h_E55</vt:lpstr>
      <vt:lpstr>_49h_E56</vt:lpstr>
      <vt:lpstr>_49h_E57</vt:lpstr>
      <vt:lpstr>_49h_E58</vt:lpstr>
      <vt:lpstr>_49h_E59</vt:lpstr>
      <vt:lpstr>_49h_E60</vt:lpstr>
      <vt:lpstr>_49h_E61</vt:lpstr>
      <vt:lpstr>_49h_E62</vt:lpstr>
      <vt:lpstr>_49h_E64</vt:lpstr>
      <vt:lpstr>_49h_E65</vt:lpstr>
      <vt:lpstr>_49h_E7</vt:lpstr>
      <vt:lpstr>_49h_E8</vt:lpstr>
      <vt:lpstr>_49h_E9</vt:lpstr>
      <vt:lpstr>_49h_F10</vt:lpstr>
      <vt:lpstr>_49h_F11</vt:lpstr>
      <vt:lpstr>_49h_F12</vt:lpstr>
      <vt:lpstr>_49h_F13</vt:lpstr>
      <vt:lpstr>_49h_F14</vt:lpstr>
      <vt:lpstr>_49h_F15</vt:lpstr>
      <vt:lpstr>_49h_F16</vt:lpstr>
      <vt:lpstr>_49h_F17</vt:lpstr>
      <vt:lpstr>_49h_F18</vt:lpstr>
      <vt:lpstr>_49h_F19</vt:lpstr>
      <vt:lpstr>_49h_F20</vt:lpstr>
      <vt:lpstr>_49h_F21</vt:lpstr>
      <vt:lpstr>_49h_F22</vt:lpstr>
      <vt:lpstr>_49h_F23</vt:lpstr>
      <vt:lpstr>_49h_F24</vt:lpstr>
      <vt:lpstr>_49h_F25</vt:lpstr>
      <vt:lpstr>_49h_F26</vt:lpstr>
      <vt:lpstr>_49h_F27</vt:lpstr>
      <vt:lpstr>_49h_F28</vt:lpstr>
      <vt:lpstr>_49h_F29</vt:lpstr>
      <vt:lpstr>_49h_F30</vt:lpstr>
      <vt:lpstr>_49h_F31</vt:lpstr>
      <vt:lpstr>_49h_F32</vt:lpstr>
      <vt:lpstr>_49h_F33</vt:lpstr>
      <vt:lpstr>_49h_F34</vt:lpstr>
      <vt:lpstr>_49h_F35</vt:lpstr>
      <vt:lpstr>_49h_F36</vt:lpstr>
      <vt:lpstr>_49h_F37</vt:lpstr>
      <vt:lpstr>_49h_F38</vt:lpstr>
      <vt:lpstr>_49h_F39</vt:lpstr>
      <vt:lpstr>_49h_F40</vt:lpstr>
      <vt:lpstr>_49h_F41</vt:lpstr>
      <vt:lpstr>_49h_F42</vt:lpstr>
      <vt:lpstr>_49h_F43</vt:lpstr>
      <vt:lpstr>_49h_F44</vt:lpstr>
      <vt:lpstr>_49h_F45</vt:lpstr>
      <vt:lpstr>_49h_F46</vt:lpstr>
      <vt:lpstr>_49h_F47</vt:lpstr>
      <vt:lpstr>_49h_F48</vt:lpstr>
      <vt:lpstr>_49h_F49</vt:lpstr>
      <vt:lpstr>_49h_F50</vt:lpstr>
      <vt:lpstr>_49h_F51</vt:lpstr>
      <vt:lpstr>_49h_F53</vt:lpstr>
      <vt:lpstr>_49h_F54</vt:lpstr>
      <vt:lpstr>_49h_F55</vt:lpstr>
      <vt:lpstr>_49h_F56</vt:lpstr>
      <vt:lpstr>_49h_F57</vt:lpstr>
      <vt:lpstr>_49h_F58</vt:lpstr>
      <vt:lpstr>_49h_F59</vt:lpstr>
      <vt:lpstr>_49h_F60</vt:lpstr>
      <vt:lpstr>_49h_F61</vt:lpstr>
      <vt:lpstr>_49h_F62</vt:lpstr>
      <vt:lpstr>_49h_F64</vt:lpstr>
      <vt:lpstr>_49h_F65</vt:lpstr>
      <vt:lpstr>_49h_F7</vt:lpstr>
      <vt:lpstr>_49h_F8</vt:lpstr>
      <vt:lpstr>_49h_F9</vt:lpstr>
      <vt:lpstr>_4h_E10</vt:lpstr>
      <vt:lpstr>_4h_E11</vt:lpstr>
      <vt:lpstr>_4h_E12</vt:lpstr>
      <vt:lpstr>_4h_E13</vt:lpstr>
      <vt:lpstr>_4h_E14</vt:lpstr>
      <vt:lpstr>_4h_E15</vt:lpstr>
      <vt:lpstr>_4h_E16</vt:lpstr>
      <vt:lpstr>_4h_E17</vt:lpstr>
      <vt:lpstr>_4h_E18</vt:lpstr>
      <vt:lpstr>_4h_E19</vt:lpstr>
      <vt:lpstr>_4h_E20</vt:lpstr>
      <vt:lpstr>_4h_E21</vt:lpstr>
      <vt:lpstr>_4h_E22</vt:lpstr>
      <vt:lpstr>_4h_E23</vt:lpstr>
      <vt:lpstr>_4h_E24</vt:lpstr>
      <vt:lpstr>_4h_E25</vt:lpstr>
      <vt:lpstr>_4h_E26</vt:lpstr>
      <vt:lpstr>_4h_E27</vt:lpstr>
      <vt:lpstr>_4h_E28</vt:lpstr>
      <vt:lpstr>_4h_E29</vt:lpstr>
      <vt:lpstr>_4h_E30</vt:lpstr>
      <vt:lpstr>_4h_E31</vt:lpstr>
      <vt:lpstr>_4h_E32</vt:lpstr>
      <vt:lpstr>_4h_E33</vt:lpstr>
      <vt:lpstr>_4h_E34</vt:lpstr>
      <vt:lpstr>_4h_E35</vt:lpstr>
      <vt:lpstr>_4h_E36</vt:lpstr>
      <vt:lpstr>_4h_E37</vt:lpstr>
      <vt:lpstr>_4h_E38</vt:lpstr>
      <vt:lpstr>_4h_E39</vt:lpstr>
      <vt:lpstr>_4h_E40</vt:lpstr>
      <vt:lpstr>_4h_E41</vt:lpstr>
      <vt:lpstr>_4h_E42</vt:lpstr>
      <vt:lpstr>_4h_E43</vt:lpstr>
      <vt:lpstr>_4h_E44</vt:lpstr>
      <vt:lpstr>_4h_E45</vt:lpstr>
      <vt:lpstr>_4h_E46</vt:lpstr>
      <vt:lpstr>_4h_E47</vt:lpstr>
      <vt:lpstr>_4h_E48</vt:lpstr>
      <vt:lpstr>_4h_E49</vt:lpstr>
      <vt:lpstr>_4h_E50</vt:lpstr>
      <vt:lpstr>_4h_E51</vt:lpstr>
      <vt:lpstr>_4h_E53</vt:lpstr>
      <vt:lpstr>_4h_E54</vt:lpstr>
      <vt:lpstr>_4h_E55</vt:lpstr>
      <vt:lpstr>_4h_E56</vt:lpstr>
      <vt:lpstr>_4h_E57</vt:lpstr>
      <vt:lpstr>_4h_E58</vt:lpstr>
      <vt:lpstr>_4h_E59</vt:lpstr>
      <vt:lpstr>_4h_E60</vt:lpstr>
      <vt:lpstr>_4h_E61</vt:lpstr>
      <vt:lpstr>_4h_E62</vt:lpstr>
      <vt:lpstr>_4h_E64</vt:lpstr>
      <vt:lpstr>_4h_E65</vt:lpstr>
      <vt:lpstr>_4h_E7</vt:lpstr>
      <vt:lpstr>_4h_E8</vt:lpstr>
      <vt:lpstr>_4h_E9</vt:lpstr>
      <vt:lpstr>_4h_F10</vt:lpstr>
      <vt:lpstr>_4h_F11</vt:lpstr>
      <vt:lpstr>_4h_F12</vt:lpstr>
      <vt:lpstr>_4h_F13</vt:lpstr>
      <vt:lpstr>_4h_F14</vt:lpstr>
      <vt:lpstr>_4h_F15</vt:lpstr>
      <vt:lpstr>_4h_F16</vt:lpstr>
      <vt:lpstr>_4h_F17</vt:lpstr>
      <vt:lpstr>_4h_F18</vt:lpstr>
      <vt:lpstr>_4h_F19</vt:lpstr>
      <vt:lpstr>_4h_F20</vt:lpstr>
      <vt:lpstr>_4h_F21</vt:lpstr>
      <vt:lpstr>_4h_F22</vt:lpstr>
      <vt:lpstr>_4h_F23</vt:lpstr>
      <vt:lpstr>_4h_F24</vt:lpstr>
      <vt:lpstr>_4h_F25</vt:lpstr>
      <vt:lpstr>_4h_F26</vt:lpstr>
      <vt:lpstr>_4h_F27</vt:lpstr>
      <vt:lpstr>_4h_F28</vt:lpstr>
      <vt:lpstr>_4h_F29</vt:lpstr>
      <vt:lpstr>_4h_F30</vt:lpstr>
      <vt:lpstr>_4h_F31</vt:lpstr>
      <vt:lpstr>_4h_F32</vt:lpstr>
      <vt:lpstr>_4h_F33</vt:lpstr>
      <vt:lpstr>_4h_F34</vt:lpstr>
      <vt:lpstr>_4h_F35</vt:lpstr>
      <vt:lpstr>_4h_F36</vt:lpstr>
      <vt:lpstr>_4h_F37</vt:lpstr>
      <vt:lpstr>_4h_F38</vt:lpstr>
      <vt:lpstr>_4h_F39</vt:lpstr>
      <vt:lpstr>_4h_F40</vt:lpstr>
      <vt:lpstr>_4h_F41</vt:lpstr>
      <vt:lpstr>_4h_F42</vt:lpstr>
      <vt:lpstr>_4h_F43</vt:lpstr>
      <vt:lpstr>_4h_F44</vt:lpstr>
      <vt:lpstr>_4h_F45</vt:lpstr>
      <vt:lpstr>_4h_F46</vt:lpstr>
      <vt:lpstr>_4h_F47</vt:lpstr>
      <vt:lpstr>_4h_F48</vt:lpstr>
      <vt:lpstr>_4h_F49</vt:lpstr>
      <vt:lpstr>_4h_F50</vt:lpstr>
      <vt:lpstr>_4h_F51</vt:lpstr>
      <vt:lpstr>_4h_F53</vt:lpstr>
      <vt:lpstr>_4h_F54</vt:lpstr>
      <vt:lpstr>_4h_F55</vt:lpstr>
      <vt:lpstr>_4h_F56</vt:lpstr>
      <vt:lpstr>_4h_F57</vt:lpstr>
      <vt:lpstr>_4h_F58</vt:lpstr>
      <vt:lpstr>_4h_F59</vt:lpstr>
      <vt:lpstr>_4h_F60</vt:lpstr>
      <vt:lpstr>_4h_F61</vt:lpstr>
      <vt:lpstr>_4h_F62</vt:lpstr>
      <vt:lpstr>_4h_F64</vt:lpstr>
      <vt:lpstr>_4h_F65</vt:lpstr>
      <vt:lpstr>_4h_F7</vt:lpstr>
      <vt:lpstr>_4h_F8</vt:lpstr>
      <vt:lpstr>_4h_F9</vt:lpstr>
      <vt:lpstr>_50h_E10</vt:lpstr>
      <vt:lpstr>_50h_E11</vt:lpstr>
      <vt:lpstr>_50h_E12</vt:lpstr>
      <vt:lpstr>_50h_E13</vt:lpstr>
      <vt:lpstr>_50h_E14</vt:lpstr>
      <vt:lpstr>_50h_E15</vt:lpstr>
      <vt:lpstr>_50h_E16</vt:lpstr>
      <vt:lpstr>_50h_E17</vt:lpstr>
      <vt:lpstr>_50h_E18</vt:lpstr>
      <vt:lpstr>_50h_E19</vt:lpstr>
      <vt:lpstr>_50h_E20</vt:lpstr>
      <vt:lpstr>_50h_E21</vt:lpstr>
      <vt:lpstr>_50h_E22</vt:lpstr>
      <vt:lpstr>_50h_E23</vt:lpstr>
      <vt:lpstr>_50h_E24</vt:lpstr>
      <vt:lpstr>_50h_E25</vt:lpstr>
      <vt:lpstr>_50h_E26</vt:lpstr>
      <vt:lpstr>_50h_E27</vt:lpstr>
      <vt:lpstr>_50h_E28</vt:lpstr>
      <vt:lpstr>_50h_E29</vt:lpstr>
      <vt:lpstr>_50h_E30</vt:lpstr>
      <vt:lpstr>_50h_E31</vt:lpstr>
      <vt:lpstr>_50h_E32</vt:lpstr>
      <vt:lpstr>_50h_E33</vt:lpstr>
      <vt:lpstr>_50h_E34</vt:lpstr>
      <vt:lpstr>_50h_E35</vt:lpstr>
      <vt:lpstr>_50h_E36</vt:lpstr>
      <vt:lpstr>_50h_E37</vt:lpstr>
      <vt:lpstr>_50h_E38</vt:lpstr>
      <vt:lpstr>_50h_E39</vt:lpstr>
      <vt:lpstr>_50h_E40</vt:lpstr>
      <vt:lpstr>_50h_E41</vt:lpstr>
      <vt:lpstr>_50h_E42</vt:lpstr>
      <vt:lpstr>_50h_E43</vt:lpstr>
      <vt:lpstr>_50h_E44</vt:lpstr>
      <vt:lpstr>_50h_E45</vt:lpstr>
      <vt:lpstr>_50h_E46</vt:lpstr>
      <vt:lpstr>_50h_E47</vt:lpstr>
      <vt:lpstr>_50h_E48</vt:lpstr>
      <vt:lpstr>_50h_E49</vt:lpstr>
      <vt:lpstr>_50h_E50</vt:lpstr>
      <vt:lpstr>_50h_E51</vt:lpstr>
      <vt:lpstr>_50h_E53</vt:lpstr>
      <vt:lpstr>_50h_E54</vt:lpstr>
      <vt:lpstr>_50h_E55</vt:lpstr>
      <vt:lpstr>_50h_E56</vt:lpstr>
      <vt:lpstr>_50h_E57</vt:lpstr>
      <vt:lpstr>_50h_E58</vt:lpstr>
      <vt:lpstr>_50h_E59</vt:lpstr>
      <vt:lpstr>_50h_E60</vt:lpstr>
      <vt:lpstr>_50h_E61</vt:lpstr>
      <vt:lpstr>_50h_E62</vt:lpstr>
      <vt:lpstr>_50h_E64</vt:lpstr>
      <vt:lpstr>_50h_E65</vt:lpstr>
      <vt:lpstr>_50h_E7</vt:lpstr>
      <vt:lpstr>_50h_E8</vt:lpstr>
      <vt:lpstr>_50h_E9</vt:lpstr>
      <vt:lpstr>_50h_F10</vt:lpstr>
      <vt:lpstr>_50h_F11</vt:lpstr>
      <vt:lpstr>_50h_F12</vt:lpstr>
      <vt:lpstr>_50h_F13</vt:lpstr>
      <vt:lpstr>_50h_F14</vt:lpstr>
      <vt:lpstr>_50h_F15</vt:lpstr>
      <vt:lpstr>_50h_F16</vt:lpstr>
      <vt:lpstr>_50h_F17</vt:lpstr>
      <vt:lpstr>_50h_F18</vt:lpstr>
      <vt:lpstr>_50h_F19</vt:lpstr>
      <vt:lpstr>_50h_F20</vt:lpstr>
      <vt:lpstr>_50h_F21</vt:lpstr>
      <vt:lpstr>_50h_F22</vt:lpstr>
      <vt:lpstr>_50h_F23</vt:lpstr>
      <vt:lpstr>_50h_F24</vt:lpstr>
      <vt:lpstr>_50h_F25</vt:lpstr>
      <vt:lpstr>_50h_F26</vt:lpstr>
      <vt:lpstr>_50h_F27</vt:lpstr>
      <vt:lpstr>_50h_F28</vt:lpstr>
      <vt:lpstr>_50h_F29</vt:lpstr>
      <vt:lpstr>_50h_F30</vt:lpstr>
      <vt:lpstr>_50h_F31</vt:lpstr>
      <vt:lpstr>_50h_F32</vt:lpstr>
      <vt:lpstr>_50h_F33</vt:lpstr>
      <vt:lpstr>_50h_F34</vt:lpstr>
      <vt:lpstr>_50h_F35</vt:lpstr>
      <vt:lpstr>_50h_F36</vt:lpstr>
      <vt:lpstr>_50h_F37</vt:lpstr>
      <vt:lpstr>_50h_F38</vt:lpstr>
      <vt:lpstr>_50h_F39</vt:lpstr>
      <vt:lpstr>_50h_F40</vt:lpstr>
      <vt:lpstr>_50h_F41</vt:lpstr>
      <vt:lpstr>_50h_F42</vt:lpstr>
      <vt:lpstr>_50h_F43</vt:lpstr>
      <vt:lpstr>_50h_F44</vt:lpstr>
      <vt:lpstr>_50h_F45</vt:lpstr>
      <vt:lpstr>_50h_F46</vt:lpstr>
      <vt:lpstr>_50h_F47</vt:lpstr>
      <vt:lpstr>_50h_F48</vt:lpstr>
      <vt:lpstr>_50h_F49</vt:lpstr>
      <vt:lpstr>_50h_F50</vt:lpstr>
      <vt:lpstr>_50h_F51</vt:lpstr>
      <vt:lpstr>_50h_F53</vt:lpstr>
      <vt:lpstr>_50h_F54</vt:lpstr>
      <vt:lpstr>_50h_F55</vt:lpstr>
      <vt:lpstr>_50h_F56</vt:lpstr>
      <vt:lpstr>_50h_F57</vt:lpstr>
      <vt:lpstr>_50h_F58</vt:lpstr>
      <vt:lpstr>_50h_F59</vt:lpstr>
      <vt:lpstr>_50h_F60</vt:lpstr>
      <vt:lpstr>_50h_F61</vt:lpstr>
      <vt:lpstr>_50h_F62</vt:lpstr>
      <vt:lpstr>_50h_F64</vt:lpstr>
      <vt:lpstr>_50h_F65</vt:lpstr>
      <vt:lpstr>_50h_F7</vt:lpstr>
      <vt:lpstr>_50h_F8</vt:lpstr>
      <vt:lpstr>_50h_F9</vt:lpstr>
      <vt:lpstr>_51h_E10</vt:lpstr>
      <vt:lpstr>_51h_E11</vt:lpstr>
      <vt:lpstr>_51h_E12</vt:lpstr>
      <vt:lpstr>_51h_E13</vt:lpstr>
      <vt:lpstr>_51h_E14</vt:lpstr>
      <vt:lpstr>_51h_E15</vt:lpstr>
      <vt:lpstr>_51h_E16</vt:lpstr>
      <vt:lpstr>_51h_E17</vt:lpstr>
      <vt:lpstr>_51h_E18</vt:lpstr>
      <vt:lpstr>_51h_E19</vt:lpstr>
      <vt:lpstr>_51h_E20</vt:lpstr>
      <vt:lpstr>_51h_E21</vt:lpstr>
      <vt:lpstr>_51h_E22</vt:lpstr>
      <vt:lpstr>_51h_E23</vt:lpstr>
      <vt:lpstr>_51h_E24</vt:lpstr>
      <vt:lpstr>_51h_E25</vt:lpstr>
      <vt:lpstr>_51h_E26</vt:lpstr>
      <vt:lpstr>_51h_E27</vt:lpstr>
      <vt:lpstr>_51h_E28</vt:lpstr>
      <vt:lpstr>_51h_E29</vt:lpstr>
      <vt:lpstr>_51h_E30</vt:lpstr>
      <vt:lpstr>_51h_E31</vt:lpstr>
      <vt:lpstr>_51h_E32</vt:lpstr>
      <vt:lpstr>_51h_E33</vt:lpstr>
      <vt:lpstr>_51h_E34</vt:lpstr>
      <vt:lpstr>_51h_E35</vt:lpstr>
      <vt:lpstr>_51h_E36</vt:lpstr>
      <vt:lpstr>_51h_E37</vt:lpstr>
      <vt:lpstr>_51h_E38</vt:lpstr>
      <vt:lpstr>_51h_E39</vt:lpstr>
      <vt:lpstr>_51h_E40</vt:lpstr>
      <vt:lpstr>_51h_E41</vt:lpstr>
      <vt:lpstr>_51h_E42</vt:lpstr>
      <vt:lpstr>_51h_E43</vt:lpstr>
      <vt:lpstr>_51h_E44</vt:lpstr>
      <vt:lpstr>_51h_E45</vt:lpstr>
      <vt:lpstr>_51h_E46</vt:lpstr>
      <vt:lpstr>_51h_E47</vt:lpstr>
      <vt:lpstr>_51h_E48</vt:lpstr>
      <vt:lpstr>_51h_E49</vt:lpstr>
      <vt:lpstr>_51h_E50</vt:lpstr>
      <vt:lpstr>_51h_E51</vt:lpstr>
      <vt:lpstr>_51h_E53</vt:lpstr>
      <vt:lpstr>_51h_E54</vt:lpstr>
      <vt:lpstr>_51h_E55</vt:lpstr>
      <vt:lpstr>_51h_E56</vt:lpstr>
      <vt:lpstr>_51h_E57</vt:lpstr>
      <vt:lpstr>_51h_E58</vt:lpstr>
      <vt:lpstr>_51h_E59</vt:lpstr>
      <vt:lpstr>_51h_E60</vt:lpstr>
      <vt:lpstr>_51h_E61</vt:lpstr>
      <vt:lpstr>_51h_E62</vt:lpstr>
      <vt:lpstr>_51h_E64</vt:lpstr>
      <vt:lpstr>_51h_E65</vt:lpstr>
      <vt:lpstr>_51h_E7</vt:lpstr>
      <vt:lpstr>_51h_E8</vt:lpstr>
      <vt:lpstr>_51h_E9</vt:lpstr>
      <vt:lpstr>_51h_F10</vt:lpstr>
      <vt:lpstr>_51h_F11</vt:lpstr>
      <vt:lpstr>_51h_F12</vt:lpstr>
      <vt:lpstr>_51h_F13</vt:lpstr>
      <vt:lpstr>_51h_F14</vt:lpstr>
      <vt:lpstr>_51h_F15</vt:lpstr>
      <vt:lpstr>_51h_F16</vt:lpstr>
      <vt:lpstr>_51h_F17</vt:lpstr>
      <vt:lpstr>_51h_F18</vt:lpstr>
      <vt:lpstr>_51h_F19</vt:lpstr>
      <vt:lpstr>_51h_F20</vt:lpstr>
      <vt:lpstr>_51h_F21</vt:lpstr>
      <vt:lpstr>_51h_F22</vt:lpstr>
      <vt:lpstr>_51h_F23</vt:lpstr>
      <vt:lpstr>_51h_F24</vt:lpstr>
      <vt:lpstr>_51h_F25</vt:lpstr>
      <vt:lpstr>_51h_F26</vt:lpstr>
      <vt:lpstr>_51h_F27</vt:lpstr>
      <vt:lpstr>_51h_F28</vt:lpstr>
      <vt:lpstr>_51h_F29</vt:lpstr>
      <vt:lpstr>_51h_F30</vt:lpstr>
      <vt:lpstr>_51h_F31</vt:lpstr>
      <vt:lpstr>_51h_F32</vt:lpstr>
      <vt:lpstr>_51h_F33</vt:lpstr>
      <vt:lpstr>_51h_F34</vt:lpstr>
      <vt:lpstr>_51h_F35</vt:lpstr>
      <vt:lpstr>_51h_F36</vt:lpstr>
      <vt:lpstr>_51h_F37</vt:lpstr>
      <vt:lpstr>_51h_F38</vt:lpstr>
      <vt:lpstr>_51h_F39</vt:lpstr>
      <vt:lpstr>_51h_F40</vt:lpstr>
      <vt:lpstr>_51h_F41</vt:lpstr>
      <vt:lpstr>_51h_F42</vt:lpstr>
      <vt:lpstr>_51h_F43</vt:lpstr>
      <vt:lpstr>_51h_F44</vt:lpstr>
      <vt:lpstr>_51h_F45</vt:lpstr>
      <vt:lpstr>_51h_F46</vt:lpstr>
      <vt:lpstr>_51h_F47</vt:lpstr>
      <vt:lpstr>_51h_F48</vt:lpstr>
      <vt:lpstr>_51h_F49</vt:lpstr>
      <vt:lpstr>_51h_F50</vt:lpstr>
      <vt:lpstr>_51h_F51</vt:lpstr>
      <vt:lpstr>_51h_F53</vt:lpstr>
      <vt:lpstr>_51h_F54</vt:lpstr>
      <vt:lpstr>_51h_F55</vt:lpstr>
      <vt:lpstr>_51h_F56</vt:lpstr>
      <vt:lpstr>_51h_F57</vt:lpstr>
      <vt:lpstr>_51h_F58</vt:lpstr>
      <vt:lpstr>_51h_F59</vt:lpstr>
      <vt:lpstr>_51h_F60</vt:lpstr>
      <vt:lpstr>_51h_F61</vt:lpstr>
      <vt:lpstr>_51h_F62</vt:lpstr>
      <vt:lpstr>_51h_F64</vt:lpstr>
      <vt:lpstr>_51h_F65</vt:lpstr>
      <vt:lpstr>_51h_F7</vt:lpstr>
      <vt:lpstr>_51h_F8</vt:lpstr>
      <vt:lpstr>_51h_F9</vt:lpstr>
      <vt:lpstr>_52h_E10</vt:lpstr>
      <vt:lpstr>_52h_E11</vt:lpstr>
      <vt:lpstr>_52h_E12</vt:lpstr>
      <vt:lpstr>_52h_E13</vt:lpstr>
      <vt:lpstr>_52h_E14</vt:lpstr>
      <vt:lpstr>_52h_E15</vt:lpstr>
      <vt:lpstr>_52h_E16</vt:lpstr>
      <vt:lpstr>_52h_E17</vt:lpstr>
      <vt:lpstr>_52h_E18</vt:lpstr>
      <vt:lpstr>_52h_E19</vt:lpstr>
      <vt:lpstr>_52h_E20</vt:lpstr>
      <vt:lpstr>_52h_E21</vt:lpstr>
      <vt:lpstr>_52h_E22</vt:lpstr>
      <vt:lpstr>_52h_E23</vt:lpstr>
      <vt:lpstr>_52h_E24</vt:lpstr>
      <vt:lpstr>_52h_E25</vt:lpstr>
      <vt:lpstr>_52h_E26</vt:lpstr>
      <vt:lpstr>_52h_E27</vt:lpstr>
      <vt:lpstr>_52h_E28</vt:lpstr>
      <vt:lpstr>_52h_E29</vt:lpstr>
      <vt:lpstr>_52h_E30</vt:lpstr>
      <vt:lpstr>_52h_E31</vt:lpstr>
      <vt:lpstr>_52h_E32</vt:lpstr>
      <vt:lpstr>_52h_E33</vt:lpstr>
      <vt:lpstr>_52h_E34</vt:lpstr>
      <vt:lpstr>_52h_E35</vt:lpstr>
      <vt:lpstr>_52h_E36</vt:lpstr>
      <vt:lpstr>_52h_E37</vt:lpstr>
      <vt:lpstr>_52h_E38</vt:lpstr>
      <vt:lpstr>_52h_E39</vt:lpstr>
      <vt:lpstr>_52h_E40</vt:lpstr>
      <vt:lpstr>_52h_E41</vt:lpstr>
      <vt:lpstr>_52h_E42</vt:lpstr>
      <vt:lpstr>_52h_E43</vt:lpstr>
      <vt:lpstr>_52h_E44</vt:lpstr>
      <vt:lpstr>_52h_E45</vt:lpstr>
      <vt:lpstr>_52h_E46</vt:lpstr>
      <vt:lpstr>_52h_E47</vt:lpstr>
      <vt:lpstr>_52h_E48</vt:lpstr>
      <vt:lpstr>_52h_E49</vt:lpstr>
      <vt:lpstr>_52h_E50</vt:lpstr>
      <vt:lpstr>_52h_E51</vt:lpstr>
      <vt:lpstr>_52h_E53</vt:lpstr>
      <vt:lpstr>_52h_E54</vt:lpstr>
      <vt:lpstr>_52h_E55</vt:lpstr>
      <vt:lpstr>_52h_E56</vt:lpstr>
      <vt:lpstr>_52h_E57</vt:lpstr>
      <vt:lpstr>_52h_E58</vt:lpstr>
      <vt:lpstr>_52h_E59</vt:lpstr>
      <vt:lpstr>_52h_E60</vt:lpstr>
      <vt:lpstr>_52h_E61</vt:lpstr>
      <vt:lpstr>_52h_E62</vt:lpstr>
      <vt:lpstr>_52h_E64</vt:lpstr>
      <vt:lpstr>_52h_E65</vt:lpstr>
      <vt:lpstr>_52h_E7</vt:lpstr>
      <vt:lpstr>_52h_E8</vt:lpstr>
      <vt:lpstr>_52h_E9</vt:lpstr>
      <vt:lpstr>_52h_F10</vt:lpstr>
      <vt:lpstr>_52h_F11</vt:lpstr>
      <vt:lpstr>_52h_F12</vt:lpstr>
      <vt:lpstr>_52h_F13</vt:lpstr>
      <vt:lpstr>_52h_F14</vt:lpstr>
      <vt:lpstr>_52h_F15</vt:lpstr>
      <vt:lpstr>_52h_F16</vt:lpstr>
      <vt:lpstr>_52h_F17</vt:lpstr>
      <vt:lpstr>_52h_F18</vt:lpstr>
      <vt:lpstr>_52h_F19</vt:lpstr>
      <vt:lpstr>_52h_F20</vt:lpstr>
      <vt:lpstr>_52h_F21</vt:lpstr>
      <vt:lpstr>_52h_F22</vt:lpstr>
      <vt:lpstr>_52h_F23</vt:lpstr>
      <vt:lpstr>_52h_F24</vt:lpstr>
      <vt:lpstr>_52h_F25</vt:lpstr>
      <vt:lpstr>_52h_F26</vt:lpstr>
      <vt:lpstr>_52h_F27</vt:lpstr>
      <vt:lpstr>_52h_F28</vt:lpstr>
      <vt:lpstr>_52h_F29</vt:lpstr>
      <vt:lpstr>_52h_F30</vt:lpstr>
      <vt:lpstr>_52h_F31</vt:lpstr>
      <vt:lpstr>_52h_F32</vt:lpstr>
      <vt:lpstr>_52h_F33</vt:lpstr>
      <vt:lpstr>_52h_F34</vt:lpstr>
      <vt:lpstr>_52h_F35</vt:lpstr>
      <vt:lpstr>_52h_F36</vt:lpstr>
      <vt:lpstr>_52h_F37</vt:lpstr>
      <vt:lpstr>_52h_F38</vt:lpstr>
      <vt:lpstr>_52h_F39</vt:lpstr>
      <vt:lpstr>_52h_F40</vt:lpstr>
      <vt:lpstr>_52h_F41</vt:lpstr>
      <vt:lpstr>_52h_F42</vt:lpstr>
      <vt:lpstr>_52h_F43</vt:lpstr>
      <vt:lpstr>_52h_F44</vt:lpstr>
      <vt:lpstr>_52h_F45</vt:lpstr>
      <vt:lpstr>_52h_F46</vt:lpstr>
      <vt:lpstr>_52h_F47</vt:lpstr>
      <vt:lpstr>_52h_F48</vt:lpstr>
      <vt:lpstr>_52h_F49</vt:lpstr>
      <vt:lpstr>_52h_F50</vt:lpstr>
      <vt:lpstr>_52h_F51</vt:lpstr>
      <vt:lpstr>_52h_F53</vt:lpstr>
      <vt:lpstr>_52h_F54</vt:lpstr>
      <vt:lpstr>_52h_F55</vt:lpstr>
      <vt:lpstr>_52h_F56</vt:lpstr>
      <vt:lpstr>_52h_F57</vt:lpstr>
      <vt:lpstr>_52h_F58</vt:lpstr>
      <vt:lpstr>_52h_F59</vt:lpstr>
      <vt:lpstr>_52h_F60</vt:lpstr>
      <vt:lpstr>_52h_F61</vt:lpstr>
      <vt:lpstr>_52h_F62</vt:lpstr>
      <vt:lpstr>_52h_F64</vt:lpstr>
      <vt:lpstr>_52h_F65</vt:lpstr>
      <vt:lpstr>_52h_F7</vt:lpstr>
      <vt:lpstr>_52h_F8</vt:lpstr>
      <vt:lpstr>_52h_F9</vt:lpstr>
      <vt:lpstr>_53h_E10</vt:lpstr>
      <vt:lpstr>_53h_E11</vt:lpstr>
      <vt:lpstr>_53h_E12</vt:lpstr>
      <vt:lpstr>_53h_E13</vt:lpstr>
      <vt:lpstr>_53h_E14</vt:lpstr>
      <vt:lpstr>_53h_E15</vt:lpstr>
      <vt:lpstr>_53h_E16</vt:lpstr>
      <vt:lpstr>_53h_E17</vt:lpstr>
      <vt:lpstr>_53h_E18</vt:lpstr>
      <vt:lpstr>_53h_E19</vt:lpstr>
      <vt:lpstr>_53h_E20</vt:lpstr>
      <vt:lpstr>_53h_E21</vt:lpstr>
      <vt:lpstr>_53h_E22</vt:lpstr>
      <vt:lpstr>_53h_E23</vt:lpstr>
      <vt:lpstr>_53h_E24</vt:lpstr>
      <vt:lpstr>_53h_E25</vt:lpstr>
      <vt:lpstr>_53h_E26</vt:lpstr>
      <vt:lpstr>_53h_E27</vt:lpstr>
      <vt:lpstr>_53h_E28</vt:lpstr>
      <vt:lpstr>_53h_E29</vt:lpstr>
      <vt:lpstr>_53h_E30</vt:lpstr>
      <vt:lpstr>_53h_E31</vt:lpstr>
      <vt:lpstr>_53h_E32</vt:lpstr>
      <vt:lpstr>_53h_E33</vt:lpstr>
      <vt:lpstr>_53h_E34</vt:lpstr>
      <vt:lpstr>_53h_E35</vt:lpstr>
      <vt:lpstr>_53h_E36</vt:lpstr>
      <vt:lpstr>_53h_E37</vt:lpstr>
      <vt:lpstr>_53h_E38</vt:lpstr>
      <vt:lpstr>_53h_E39</vt:lpstr>
      <vt:lpstr>_53h_E40</vt:lpstr>
      <vt:lpstr>_53h_E41</vt:lpstr>
      <vt:lpstr>_53h_E42</vt:lpstr>
      <vt:lpstr>_53h_E43</vt:lpstr>
      <vt:lpstr>_53h_E44</vt:lpstr>
      <vt:lpstr>_53h_E45</vt:lpstr>
      <vt:lpstr>_53h_E46</vt:lpstr>
      <vt:lpstr>_53h_E47</vt:lpstr>
      <vt:lpstr>_53h_E48</vt:lpstr>
      <vt:lpstr>_53h_E49</vt:lpstr>
      <vt:lpstr>_53h_E50</vt:lpstr>
      <vt:lpstr>_53h_E51</vt:lpstr>
      <vt:lpstr>_53h_E53</vt:lpstr>
      <vt:lpstr>_53h_E54</vt:lpstr>
      <vt:lpstr>_53h_E55</vt:lpstr>
      <vt:lpstr>_53h_E56</vt:lpstr>
      <vt:lpstr>_53h_E57</vt:lpstr>
      <vt:lpstr>_53h_E58</vt:lpstr>
      <vt:lpstr>_53h_E59</vt:lpstr>
      <vt:lpstr>_53h_E60</vt:lpstr>
      <vt:lpstr>_53h_E61</vt:lpstr>
      <vt:lpstr>_53h_E62</vt:lpstr>
      <vt:lpstr>_53h_E64</vt:lpstr>
      <vt:lpstr>_53h_E65</vt:lpstr>
      <vt:lpstr>_53h_E7</vt:lpstr>
      <vt:lpstr>_53h_E8</vt:lpstr>
      <vt:lpstr>_53h_E9</vt:lpstr>
      <vt:lpstr>_53h_F10</vt:lpstr>
      <vt:lpstr>_53h_F11</vt:lpstr>
      <vt:lpstr>_53h_F12</vt:lpstr>
      <vt:lpstr>_53h_F13</vt:lpstr>
      <vt:lpstr>_53h_F14</vt:lpstr>
      <vt:lpstr>_53h_F15</vt:lpstr>
      <vt:lpstr>_53h_F16</vt:lpstr>
      <vt:lpstr>_53h_F17</vt:lpstr>
      <vt:lpstr>_53h_F18</vt:lpstr>
      <vt:lpstr>_53h_F19</vt:lpstr>
      <vt:lpstr>_53h_F20</vt:lpstr>
      <vt:lpstr>_53h_F21</vt:lpstr>
      <vt:lpstr>_53h_F22</vt:lpstr>
      <vt:lpstr>_53h_F23</vt:lpstr>
      <vt:lpstr>_53h_F24</vt:lpstr>
      <vt:lpstr>_53h_F25</vt:lpstr>
      <vt:lpstr>_53h_F26</vt:lpstr>
      <vt:lpstr>_53h_F27</vt:lpstr>
      <vt:lpstr>_53h_F28</vt:lpstr>
      <vt:lpstr>_53h_F29</vt:lpstr>
      <vt:lpstr>_53h_F30</vt:lpstr>
      <vt:lpstr>_53h_F31</vt:lpstr>
      <vt:lpstr>_53h_F32</vt:lpstr>
      <vt:lpstr>_53h_F33</vt:lpstr>
      <vt:lpstr>_53h_F34</vt:lpstr>
      <vt:lpstr>_53h_F35</vt:lpstr>
      <vt:lpstr>_53h_F36</vt:lpstr>
      <vt:lpstr>_53h_F37</vt:lpstr>
      <vt:lpstr>_53h_F38</vt:lpstr>
      <vt:lpstr>_53h_F39</vt:lpstr>
      <vt:lpstr>_53h_F40</vt:lpstr>
      <vt:lpstr>_53h_F41</vt:lpstr>
      <vt:lpstr>_53h_F42</vt:lpstr>
      <vt:lpstr>_53h_F43</vt:lpstr>
      <vt:lpstr>_53h_F44</vt:lpstr>
      <vt:lpstr>_53h_F45</vt:lpstr>
      <vt:lpstr>_53h_F46</vt:lpstr>
      <vt:lpstr>_53h_F47</vt:lpstr>
      <vt:lpstr>_53h_F48</vt:lpstr>
      <vt:lpstr>_53h_F49</vt:lpstr>
      <vt:lpstr>_53h_F50</vt:lpstr>
      <vt:lpstr>_53h_F51</vt:lpstr>
      <vt:lpstr>_53h_F53</vt:lpstr>
      <vt:lpstr>_53h_F54</vt:lpstr>
      <vt:lpstr>_53h_F55</vt:lpstr>
      <vt:lpstr>_53h_F56</vt:lpstr>
      <vt:lpstr>_53h_F57</vt:lpstr>
      <vt:lpstr>_53h_F58</vt:lpstr>
      <vt:lpstr>_53h_F59</vt:lpstr>
      <vt:lpstr>_53h_F60</vt:lpstr>
      <vt:lpstr>_53h_F61</vt:lpstr>
      <vt:lpstr>_53h_F62</vt:lpstr>
      <vt:lpstr>_53h_F64</vt:lpstr>
      <vt:lpstr>_53h_F65</vt:lpstr>
      <vt:lpstr>_53h_F7</vt:lpstr>
      <vt:lpstr>_53h_F8</vt:lpstr>
      <vt:lpstr>_53h_F9</vt:lpstr>
      <vt:lpstr>_54h_E10</vt:lpstr>
      <vt:lpstr>_54h_E11</vt:lpstr>
      <vt:lpstr>_54h_E12</vt:lpstr>
      <vt:lpstr>_54h_E13</vt:lpstr>
      <vt:lpstr>_54h_E14</vt:lpstr>
      <vt:lpstr>_54h_E15</vt:lpstr>
      <vt:lpstr>_54h_E16</vt:lpstr>
      <vt:lpstr>_54h_E17</vt:lpstr>
      <vt:lpstr>_54h_E18</vt:lpstr>
      <vt:lpstr>_54h_E19</vt:lpstr>
      <vt:lpstr>_54h_E20</vt:lpstr>
      <vt:lpstr>_54h_E21</vt:lpstr>
      <vt:lpstr>_54h_E22</vt:lpstr>
      <vt:lpstr>_54h_E23</vt:lpstr>
      <vt:lpstr>_54h_E24</vt:lpstr>
      <vt:lpstr>_54h_E25</vt:lpstr>
      <vt:lpstr>_54h_E26</vt:lpstr>
      <vt:lpstr>_54h_E27</vt:lpstr>
      <vt:lpstr>_54h_E28</vt:lpstr>
      <vt:lpstr>_54h_E29</vt:lpstr>
      <vt:lpstr>_54h_E30</vt:lpstr>
      <vt:lpstr>_54h_E31</vt:lpstr>
      <vt:lpstr>_54h_E32</vt:lpstr>
      <vt:lpstr>_54h_E33</vt:lpstr>
      <vt:lpstr>_54h_E34</vt:lpstr>
      <vt:lpstr>_54h_E35</vt:lpstr>
      <vt:lpstr>_54h_E36</vt:lpstr>
      <vt:lpstr>_54h_E37</vt:lpstr>
      <vt:lpstr>_54h_E38</vt:lpstr>
      <vt:lpstr>_54h_E39</vt:lpstr>
      <vt:lpstr>_54h_E40</vt:lpstr>
      <vt:lpstr>_54h_E41</vt:lpstr>
      <vt:lpstr>_54h_E42</vt:lpstr>
      <vt:lpstr>_54h_E43</vt:lpstr>
      <vt:lpstr>_54h_E44</vt:lpstr>
      <vt:lpstr>_54h_E45</vt:lpstr>
      <vt:lpstr>_54h_E46</vt:lpstr>
      <vt:lpstr>_54h_E47</vt:lpstr>
      <vt:lpstr>_54h_E48</vt:lpstr>
      <vt:lpstr>_54h_E49</vt:lpstr>
      <vt:lpstr>_54h_E50</vt:lpstr>
      <vt:lpstr>_54h_E51</vt:lpstr>
      <vt:lpstr>_54h_E53</vt:lpstr>
      <vt:lpstr>_54h_E54</vt:lpstr>
      <vt:lpstr>_54h_E55</vt:lpstr>
      <vt:lpstr>_54h_E56</vt:lpstr>
      <vt:lpstr>_54h_E57</vt:lpstr>
      <vt:lpstr>_54h_E58</vt:lpstr>
      <vt:lpstr>_54h_E59</vt:lpstr>
      <vt:lpstr>_54h_E60</vt:lpstr>
      <vt:lpstr>_54h_E61</vt:lpstr>
      <vt:lpstr>_54h_E62</vt:lpstr>
      <vt:lpstr>_54h_E64</vt:lpstr>
      <vt:lpstr>_54h_E65</vt:lpstr>
      <vt:lpstr>_54h_E7</vt:lpstr>
      <vt:lpstr>_54h_E8</vt:lpstr>
      <vt:lpstr>_54h_E9</vt:lpstr>
      <vt:lpstr>_54h_F10</vt:lpstr>
      <vt:lpstr>_54h_F11</vt:lpstr>
      <vt:lpstr>_54h_F12</vt:lpstr>
      <vt:lpstr>_54h_F13</vt:lpstr>
      <vt:lpstr>_54h_F14</vt:lpstr>
      <vt:lpstr>_54h_F15</vt:lpstr>
      <vt:lpstr>_54h_F16</vt:lpstr>
      <vt:lpstr>_54h_F17</vt:lpstr>
      <vt:lpstr>_54h_F18</vt:lpstr>
      <vt:lpstr>_54h_F19</vt:lpstr>
      <vt:lpstr>_54h_F20</vt:lpstr>
      <vt:lpstr>_54h_F21</vt:lpstr>
      <vt:lpstr>_54h_F22</vt:lpstr>
      <vt:lpstr>_54h_F23</vt:lpstr>
      <vt:lpstr>_54h_F24</vt:lpstr>
      <vt:lpstr>_54h_F25</vt:lpstr>
      <vt:lpstr>_54h_F26</vt:lpstr>
      <vt:lpstr>_54h_F27</vt:lpstr>
      <vt:lpstr>_54h_F28</vt:lpstr>
      <vt:lpstr>_54h_F29</vt:lpstr>
      <vt:lpstr>_54h_F30</vt:lpstr>
      <vt:lpstr>_54h_F31</vt:lpstr>
      <vt:lpstr>_54h_F32</vt:lpstr>
      <vt:lpstr>_54h_F33</vt:lpstr>
      <vt:lpstr>_54h_F34</vt:lpstr>
      <vt:lpstr>_54h_F35</vt:lpstr>
      <vt:lpstr>_54h_F36</vt:lpstr>
      <vt:lpstr>_54h_F37</vt:lpstr>
      <vt:lpstr>_54h_F38</vt:lpstr>
      <vt:lpstr>_54h_F39</vt:lpstr>
      <vt:lpstr>_54h_F40</vt:lpstr>
      <vt:lpstr>_54h_F41</vt:lpstr>
      <vt:lpstr>_54h_F42</vt:lpstr>
      <vt:lpstr>_54h_F43</vt:lpstr>
      <vt:lpstr>_54h_F44</vt:lpstr>
      <vt:lpstr>_54h_F45</vt:lpstr>
      <vt:lpstr>_54h_F46</vt:lpstr>
      <vt:lpstr>_54h_F47</vt:lpstr>
      <vt:lpstr>_54h_F48</vt:lpstr>
      <vt:lpstr>_54h_F49</vt:lpstr>
      <vt:lpstr>_54h_F50</vt:lpstr>
      <vt:lpstr>_54h_F51</vt:lpstr>
      <vt:lpstr>_54h_F53</vt:lpstr>
      <vt:lpstr>_54h_F54</vt:lpstr>
      <vt:lpstr>_54h_F55</vt:lpstr>
      <vt:lpstr>_54h_F56</vt:lpstr>
      <vt:lpstr>_54h_F57</vt:lpstr>
      <vt:lpstr>_54h_F58</vt:lpstr>
      <vt:lpstr>_54h_F59</vt:lpstr>
      <vt:lpstr>_54h_F60</vt:lpstr>
      <vt:lpstr>_54h_F61</vt:lpstr>
      <vt:lpstr>_54h_F62</vt:lpstr>
      <vt:lpstr>_54h_F64</vt:lpstr>
      <vt:lpstr>_54h_F65</vt:lpstr>
      <vt:lpstr>_54h_F7</vt:lpstr>
      <vt:lpstr>_54h_F8</vt:lpstr>
      <vt:lpstr>_54h_F9</vt:lpstr>
      <vt:lpstr>_55h_E10</vt:lpstr>
      <vt:lpstr>_55h_E11</vt:lpstr>
      <vt:lpstr>_55h_E12</vt:lpstr>
      <vt:lpstr>_55h_E13</vt:lpstr>
      <vt:lpstr>_55h_E14</vt:lpstr>
      <vt:lpstr>_55h_E15</vt:lpstr>
      <vt:lpstr>_55h_E16</vt:lpstr>
      <vt:lpstr>_55h_E17</vt:lpstr>
      <vt:lpstr>_55h_E18</vt:lpstr>
      <vt:lpstr>_55h_E19</vt:lpstr>
      <vt:lpstr>_55h_E20</vt:lpstr>
      <vt:lpstr>_55h_E21</vt:lpstr>
      <vt:lpstr>_55h_E22</vt:lpstr>
      <vt:lpstr>_55h_E23</vt:lpstr>
      <vt:lpstr>_55h_E24</vt:lpstr>
      <vt:lpstr>_55h_E25</vt:lpstr>
      <vt:lpstr>_55h_E26</vt:lpstr>
      <vt:lpstr>_55h_E27</vt:lpstr>
      <vt:lpstr>_55h_E28</vt:lpstr>
      <vt:lpstr>_55h_E29</vt:lpstr>
      <vt:lpstr>_55h_E30</vt:lpstr>
      <vt:lpstr>_55h_E31</vt:lpstr>
      <vt:lpstr>_55h_E32</vt:lpstr>
      <vt:lpstr>_55h_E33</vt:lpstr>
      <vt:lpstr>_55h_E34</vt:lpstr>
      <vt:lpstr>_55h_E35</vt:lpstr>
      <vt:lpstr>_55h_E36</vt:lpstr>
      <vt:lpstr>_55h_E37</vt:lpstr>
      <vt:lpstr>_55h_E38</vt:lpstr>
      <vt:lpstr>_55h_E39</vt:lpstr>
      <vt:lpstr>_55h_E40</vt:lpstr>
      <vt:lpstr>_55h_E41</vt:lpstr>
      <vt:lpstr>_55h_E42</vt:lpstr>
      <vt:lpstr>_55h_E43</vt:lpstr>
      <vt:lpstr>_55h_E44</vt:lpstr>
      <vt:lpstr>_55h_E45</vt:lpstr>
      <vt:lpstr>_55h_E46</vt:lpstr>
      <vt:lpstr>_55h_E47</vt:lpstr>
      <vt:lpstr>_55h_E48</vt:lpstr>
      <vt:lpstr>_55h_E49</vt:lpstr>
      <vt:lpstr>_55h_E50</vt:lpstr>
      <vt:lpstr>_55h_E51</vt:lpstr>
      <vt:lpstr>_55h_E53</vt:lpstr>
      <vt:lpstr>_55h_E54</vt:lpstr>
      <vt:lpstr>_55h_E55</vt:lpstr>
      <vt:lpstr>_55h_E56</vt:lpstr>
      <vt:lpstr>_55h_E57</vt:lpstr>
      <vt:lpstr>_55h_E58</vt:lpstr>
      <vt:lpstr>_55h_E59</vt:lpstr>
      <vt:lpstr>_55h_E60</vt:lpstr>
      <vt:lpstr>_55h_E61</vt:lpstr>
      <vt:lpstr>_55h_E62</vt:lpstr>
      <vt:lpstr>_55h_E64</vt:lpstr>
      <vt:lpstr>_55h_E65</vt:lpstr>
      <vt:lpstr>_55h_E7</vt:lpstr>
      <vt:lpstr>_55h_E8</vt:lpstr>
      <vt:lpstr>_55h_E9</vt:lpstr>
      <vt:lpstr>_55h_F10</vt:lpstr>
      <vt:lpstr>_55h_F11</vt:lpstr>
      <vt:lpstr>_55h_F12</vt:lpstr>
      <vt:lpstr>_55h_F13</vt:lpstr>
      <vt:lpstr>_55h_F14</vt:lpstr>
      <vt:lpstr>_55h_F15</vt:lpstr>
      <vt:lpstr>_55h_F16</vt:lpstr>
      <vt:lpstr>_55h_F17</vt:lpstr>
      <vt:lpstr>_55h_F18</vt:lpstr>
      <vt:lpstr>_55h_F19</vt:lpstr>
      <vt:lpstr>_55h_F20</vt:lpstr>
      <vt:lpstr>_55h_F21</vt:lpstr>
      <vt:lpstr>_55h_F22</vt:lpstr>
      <vt:lpstr>_55h_F23</vt:lpstr>
      <vt:lpstr>_55h_F24</vt:lpstr>
      <vt:lpstr>_55h_F25</vt:lpstr>
      <vt:lpstr>_55h_F26</vt:lpstr>
      <vt:lpstr>_55h_F27</vt:lpstr>
      <vt:lpstr>_55h_F28</vt:lpstr>
      <vt:lpstr>_55h_F29</vt:lpstr>
      <vt:lpstr>_55h_F30</vt:lpstr>
      <vt:lpstr>_55h_F31</vt:lpstr>
      <vt:lpstr>_55h_F32</vt:lpstr>
      <vt:lpstr>_55h_F33</vt:lpstr>
      <vt:lpstr>_55h_F34</vt:lpstr>
      <vt:lpstr>_55h_F35</vt:lpstr>
      <vt:lpstr>_55h_F36</vt:lpstr>
      <vt:lpstr>_55h_F37</vt:lpstr>
      <vt:lpstr>_55h_F38</vt:lpstr>
      <vt:lpstr>_55h_F39</vt:lpstr>
      <vt:lpstr>_55h_F40</vt:lpstr>
      <vt:lpstr>_55h_F41</vt:lpstr>
      <vt:lpstr>_55h_F42</vt:lpstr>
      <vt:lpstr>_55h_F43</vt:lpstr>
      <vt:lpstr>_55h_F44</vt:lpstr>
      <vt:lpstr>_55h_F45</vt:lpstr>
      <vt:lpstr>_55h_F46</vt:lpstr>
      <vt:lpstr>_55h_F47</vt:lpstr>
      <vt:lpstr>_55h_F48</vt:lpstr>
      <vt:lpstr>_55h_F49</vt:lpstr>
      <vt:lpstr>_55h_F50</vt:lpstr>
      <vt:lpstr>_55h_F51</vt:lpstr>
      <vt:lpstr>_55h_F53</vt:lpstr>
      <vt:lpstr>_55h_F54</vt:lpstr>
      <vt:lpstr>_55h_F55</vt:lpstr>
      <vt:lpstr>_55h_F56</vt:lpstr>
      <vt:lpstr>_55h_F57</vt:lpstr>
      <vt:lpstr>_55h_F58</vt:lpstr>
      <vt:lpstr>_55h_F59</vt:lpstr>
      <vt:lpstr>_55h_F60</vt:lpstr>
      <vt:lpstr>_55h_F61</vt:lpstr>
      <vt:lpstr>_55h_F62</vt:lpstr>
      <vt:lpstr>_55h_F64</vt:lpstr>
      <vt:lpstr>_55h_F65</vt:lpstr>
      <vt:lpstr>_55h_F7</vt:lpstr>
      <vt:lpstr>_55h_F8</vt:lpstr>
      <vt:lpstr>_55h_F9</vt:lpstr>
      <vt:lpstr>_56h_E10</vt:lpstr>
      <vt:lpstr>_56h_E11</vt:lpstr>
      <vt:lpstr>_56h_E12</vt:lpstr>
      <vt:lpstr>_56h_E13</vt:lpstr>
      <vt:lpstr>_56h_E14</vt:lpstr>
      <vt:lpstr>_56h_E15</vt:lpstr>
      <vt:lpstr>_56h_E16</vt:lpstr>
      <vt:lpstr>_56h_E17</vt:lpstr>
      <vt:lpstr>_56h_E18</vt:lpstr>
      <vt:lpstr>_56h_E19</vt:lpstr>
      <vt:lpstr>_56h_E20</vt:lpstr>
      <vt:lpstr>_56h_E21</vt:lpstr>
      <vt:lpstr>_56h_E22</vt:lpstr>
      <vt:lpstr>_56h_E23</vt:lpstr>
      <vt:lpstr>_56h_E24</vt:lpstr>
      <vt:lpstr>_56h_E25</vt:lpstr>
      <vt:lpstr>_56h_E26</vt:lpstr>
      <vt:lpstr>_56h_E27</vt:lpstr>
      <vt:lpstr>_56h_E28</vt:lpstr>
      <vt:lpstr>_56h_E29</vt:lpstr>
      <vt:lpstr>_56h_E30</vt:lpstr>
      <vt:lpstr>_56h_E31</vt:lpstr>
      <vt:lpstr>_56h_E32</vt:lpstr>
      <vt:lpstr>_56h_E33</vt:lpstr>
      <vt:lpstr>_56h_E34</vt:lpstr>
      <vt:lpstr>_56h_E35</vt:lpstr>
      <vt:lpstr>_56h_E36</vt:lpstr>
      <vt:lpstr>_56h_E37</vt:lpstr>
      <vt:lpstr>_56h_E38</vt:lpstr>
      <vt:lpstr>_56h_E39</vt:lpstr>
      <vt:lpstr>_56h_E40</vt:lpstr>
      <vt:lpstr>_56h_E41</vt:lpstr>
      <vt:lpstr>_56h_E42</vt:lpstr>
      <vt:lpstr>_56h_E43</vt:lpstr>
      <vt:lpstr>_56h_E44</vt:lpstr>
      <vt:lpstr>_56h_E45</vt:lpstr>
      <vt:lpstr>_56h_E46</vt:lpstr>
      <vt:lpstr>_56h_E47</vt:lpstr>
      <vt:lpstr>_56h_E48</vt:lpstr>
      <vt:lpstr>_56h_E49</vt:lpstr>
      <vt:lpstr>_56h_E50</vt:lpstr>
      <vt:lpstr>_56h_E51</vt:lpstr>
      <vt:lpstr>_56h_E53</vt:lpstr>
      <vt:lpstr>_56h_E54</vt:lpstr>
      <vt:lpstr>_56h_E55</vt:lpstr>
      <vt:lpstr>_56h_E56</vt:lpstr>
      <vt:lpstr>_56h_E57</vt:lpstr>
      <vt:lpstr>_56h_E58</vt:lpstr>
      <vt:lpstr>_56h_E59</vt:lpstr>
      <vt:lpstr>_56h_E60</vt:lpstr>
      <vt:lpstr>_56h_E61</vt:lpstr>
      <vt:lpstr>_56h_E62</vt:lpstr>
      <vt:lpstr>_56h_E64</vt:lpstr>
      <vt:lpstr>_56h_E65</vt:lpstr>
      <vt:lpstr>_56h_E7</vt:lpstr>
      <vt:lpstr>_56h_E8</vt:lpstr>
      <vt:lpstr>_56h_E9</vt:lpstr>
      <vt:lpstr>_56h_F10</vt:lpstr>
      <vt:lpstr>_56h_F11</vt:lpstr>
      <vt:lpstr>_56h_F12</vt:lpstr>
      <vt:lpstr>_56h_F13</vt:lpstr>
      <vt:lpstr>_56h_F14</vt:lpstr>
      <vt:lpstr>_56h_F15</vt:lpstr>
      <vt:lpstr>_56h_F16</vt:lpstr>
      <vt:lpstr>_56h_F17</vt:lpstr>
      <vt:lpstr>_56h_F18</vt:lpstr>
      <vt:lpstr>_56h_F19</vt:lpstr>
      <vt:lpstr>_56h_F20</vt:lpstr>
      <vt:lpstr>_56h_F21</vt:lpstr>
      <vt:lpstr>_56h_F22</vt:lpstr>
      <vt:lpstr>_56h_F23</vt:lpstr>
      <vt:lpstr>_56h_F24</vt:lpstr>
      <vt:lpstr>_56h_F25</vt:lpstr>
      <vt:lpstr>_56h_F26</vt:lpstr>
      <vt:lpstr>_56h_F27</vt:lpstr>
      <vt:lpstr>_56h_F28</vt:lpstr>
      <vt:lpstr>_56h_F29</vt:lpstr>
      <vt:lpstr>_56h_F30</vt:lpstr>
      <vt:lpstr>_56h_F31</vt:lpstr>
      <vt:lpstr>_56h_F32</vt:lpstr>
      <vt:lpstr>_56h_F33</vt:lpstr>
      <vt:lpstr>_56h_F34</vt:lpstr>
      <vt:lpstr>_56h_F35</vt:lpstr>
      <vt:lpstr>_56h_F36</vt:lpstr>
      <vt:lpstr>_56h_F37</vt:lpstr>
      <vt:lpstr>_56h_F38</vt:lpstr>
      <vt:lpstr>_56h_F39</vt:lpstr>
      <vt:lpstr>_56h_F40</vt:lpstr>
      <vt:lpstr>_56h_F41</vt:lpstr>
      <vt:lpstr>_56h_F42</vt:lpstr>
      <vt:lpstr>_56h_F43</vt:lpstr>
      <vt:lpstr>_56h_F44</vt:lpstr>
      <vt:lpstr>_56h_F45</vt:lpstr>
      <vt:lpstr>_56h_F46</vt:lpstr>
      <vt:lpstr>_56h_F47</vt:lpstr>
      <vt:lpstr>_56h_F48</vt:lpstr>
      <vt:lpstr>_56h_F49</vt:lpstr>
      <vt:lpstr>_56h_F50</vt:lpstr>
      <vt:lpstr>_56h_F51</vt:lpstr>
      <vt:lpstr>_56h_F53</vt:lpstr>
      <vt:lpstr>_56h_F54</vt:lpstr>
      <vt:lpstr>_56h_F55</vt:lpstr>
      <vt:lpstr>_56h_F56</vt:lpstr>
      <vt:lpstr>_56h_F57</vt:lpstr>
      <vt:lpstr>_56h_F58</vt:lpstr>
      <vt:lpstr>_56h_F59</vt:lpstr>
      <vt:lpstr>_56h_F60</vt:lpstr>
      <vt:lpstr>_56h_F61</vt:lpstr>
      <vt:lpstr>_56h_F62</vt:lpstr>
      <vt:lpstr>_56h_F64</vt:lpstr>
      <vt:lpstr>_56h_F65</vt:lpstr>
      <vt:lpstr>_56h_F7</vt:lpstr>
      <vt:lpstr>_56h_F8</vt:lpstr>
      <vt:lpstr>_56h_F9</vt:lpstr>
      <vt:lpstr>_57h_E10</vt:lpstr>
      <vt:lpstr>_57h_E11</vt:lpstr>
      <vt:lpstr>_57h_E12</vt:lpstr>
      <vt:lpstr>_57h_E13</vt:lpstr>
      <vt:lpstr>_57h_E14</vt:lpstr>
      <vt:lpstr>_57h_E15</vt:lpstr>
      <vt:lpstr>_57h_E16</vt:lpstr>
      <vt:lpstr>_57h_E17</vt:lpstr>
      <vt:lpstr>_57h_E18</vt:lpstr>
      <vt:lpstr>_57h_E19</vt:lpstr>
      <vt:lpstr>_57h_E20</vt:lpstr>
      <vt:lpstr>_57h_E21</vt:lpstr>
      <vt:lpstr>_57h_E22</vt:lpstr>
      <vt:lpstr>_57h_E23</vt:lpstr>
      <vt:lpstr>_57h_E24</vt:lpstr>
      <vt:lpstr>_57h_E25</vt:lpstr>
      <vt:lpstr>_57h_E26</vt:lpstr>
      <vt:lpstr>_57h_E27</vt:lpstr>
      <vt:lpstr>_57h_E28</vt:lpstr>
      <vt:lpstr>_57h_E29</vt:lpstr>
      <vt:lpstr>_57h_E30</vt:lpstr>
      <vt:lpstr>_57h_E31</vt:lpstr>
      <vt:lpstr>_57h_E32</vt:lpstr>
      <vt:lpstr>_57h_E33</vt:lpstr>
      <vt:lpstr>_57h_E34</vt:lpstr>
      <vt:lpstr>_57h_E35</vt:lpstr>
      <vt:lpstr>_57h_E36</vt:lpstr>
      <vt:lpstr>_57h_E37</vt:lpstr>
      <vt:lpstr>_57h_E38</vt:lpstr>
      <vt:lpstr>_57h_E39</vt:lpstr>
      <vt:lpstr>_57h_E40</vt:lpstr>
      <vt:lpstr>_57h_E41</vt:lpstr>
      <vt:lpstr>_57h_E42</vt:lpstr>
      <vt:lpstr>_57h_E43</vt:lpstr>
      <vt:lpstr>_57h_E44</vt:lpstr>
      <vt:lpstr>_57h_E45</vt:lpstr>
      <vt:lpstr>_57h_E46</vt:lpstr>
      <vt:lpstr>_57h_E47</vt:lpstr>
      <vt:lpstr>_57h_E48</vt:lpstr>
      <vt:lpstr>_57h_E49</vt:lpstr>
      <vt:lpstr>_57h_E50</vt:lpstr>
      <vt:lpstr>_57h_E51</vt:lpstr>
      <vt:lpstr>_57h_E53</vt:lpstr>
      <vt:lpstr>_57h_E54</vt:lpstr>
      <vt:lpstr>_57h_E55</vt:lpstr>
      <vt:lpstr>_57h_E56</vt:lpstr>
      <vt:lpstr>_57h_E57</vt:lpstr>
      <vt:lpstr>_57h_E58</vt:lpstr>
      <vt:lpstr>_57h_E59</vt:lpstr>
      <vt:lpstr>_57h_E60</vt:lpstr>
      <vt:lpstr>_57h_E61</vt:lpstr>
      <vt:lpstr>_57h_E62</vt:lpstr>
      <vt:lpstr>_57h_E64</vt:lpstr>
      <vt:lpstr>_57h_E65</vt:lpstr>
      <vt:lpstr>_57h_E7</vt:lpstr>
      <vt:lpstr>_57h_E8</vt:lpstr>
      <vt:lpstr>_57h_E9</vt:lpstr>
      <vt:lpstr>_57h_F10</vt:lpstr>
      <vt:lpstr>_57h_F11</vt:lpstr>
      <vt:lpstr>_57h_F12</vt:lpstr>
      <vt:lpstr>_57h_F13</vt:lpstr>
      <vt:lpstr>_57h_F14</vt:lpstr>
      <vt:lpstr>_57h_F15</vt:lpstr>
      <vt:lpstr>_57h_F16</vt:lpstr>
      <vt:lpstr>_57h_F17</vt:lpstr>
      <vt:lpstr>_57h_F18</vt:lpstr>
      <vt:lpstr>_57h_F19</vt:lpstr>
      <vt:lpstr>_57h_F20</vt:lpstr>
      <vt:lpstr>_57h_F21</vt:lpstr>
      <vt:lpstr>_57h_F22</vt:lpstr>
      <vt:lpstr>_57h_F23</vt:lpstr>
      <vt:lpstr>_57h_F24</vt:lpstr>
      <vt:lpstr>_57h_F25</vt:lpstr>
      <vt:lpstr>_57h_F26</vt:lpstr>
      <vt:lpstr>_57h_F27</vt:lpstr>
      <vt:lpstr>_57h_F28</vt:lpstr>
      <vt:lpstr>_57h_F29</vt:lpstr>
      <vt:lpstr>_57h_F30</vt:lpstr>
      <vt:lpstr>_57h_F31</vt:lpstr>
      <vt:lpstr>_57h_F32</vt:lpstr>
      <vt:lpstr>_57h_F33</vt:lpstr>
      <vt:lpstr>_57h_F34</vt:lpstr>
      <vt:lpstr>_57h_F35</vt:lpstr>
      <vt:lpstr>_57h_F36</vt:lpstr>
      <vt:lpstr>_57h_F37</vt:lpstr>
      <vt:lpstr>_57h_F38</vt:lpstr>
      <vt:lpstr>_57h_F39</vt:lpstr>
      <vt:lpstr>_57h_F40</vt:lpstr>
      <vt:lpstr>_57h_F41</vt:lpstr>
      <vt:lpstr>_57h_F42</vt:lpstr>
      <vt:lpstr>_57h_F43</vt:lpstr>
      <vt:lpstr>_57h_F44</vt:lpstr>
      <vt:lpstr>_57h_F45</vt:lpstr>
      <vt:lpstr>_57h_F46</vt:lpstr>
      <vt:lpstr>_57h_F47</vt:lpstr>
      <vt:lpstr>_57h_F48</vt:lpstr>
      <vt:lpstr>_57h_F49</vt:lpstr>
      <vt:lpstr>_57h_F50</vt:lpstr>
      <vt:lpstr>_57h_F51</vt:lpstr>
      <vt:lpstr>_57h_F53</vt:lpstr>
      <vt:lpstr>_57h_F54</vt:lpstr>
      <vt:lpstr>_57h_F55</vt:lpstr>
      <vt:lpstr>_57h_F56</vt:lpstr>
      <vt:lpstr>_57h_F57</vt:lpstr>
      <vt:lpstr>_57h_F58</vt:lpstr>
      <vt:lpstr>_57h_F59</vt:lpstr>
      <vt:lpstr>_57h_F60</vt:lpstr>
      <vt:lpstr>_57h_F61</vt:lpstr>
      <vt:lpstr>_57h_F62</vt:lpstr>
      <vt:lpstr>_57h_F64</vt:lpstr>
      <vt:lpstr>_57h_F65</vt:lpstr>
      <vt:lpstr>_57h_F7</vt:lpstr>
      <vt:lpstr>_57h_F8</vt:lpstr>
      <vt:lpstr>_57h_F9</vt:lpstr>
      <vt:lpstr>_58h_E10</vt:lpstr>
      <vt:lpstr>_58h_E11</vt:lpstr>
      <vt:lpstr>_58h_E12</vt:lpstr>
      <vt:lpstr>_58h_E13</vt:lpstr>
      <vt:lpstr>_58h_E14</vt:lpstr>
      <vt:lpstr>_58h_E15</vt:lpstr>
      <vt:lpstr>_58h_E16</vt:lpstr>
      <vt:lpstr>_58h_E17</vt:lpstr>
      <vt:lpstr>_58h_E18</vt:lpstr>
      <vt:lpstr>_58h_E19</vt:lpstr>
      <vt:lpstr>_58h_E20</vt:lpstr>
      <vt:lpstr>_58h_E21</vt:lpstr>
      <vt:lpstr>_58h_E22</vt:lpstr>
      <vt:lpstr>_58h_E23</vt:lpstr>
      <vt:lpstr>_58h_E24</vt:lpstr>
      <vt:lpstr>_58h_E25</vt:lpstr>
      <vt:lpstr>_58h_E26</vt:lpstr>
      <vt:lpstr>_58h_E27</vt:lpstr>
      <vt:lpstr>_58h_E28</vt:lpstr>
      <vt:lpstr>_58h_E29</vt:lpstr>
      <vt:lpstr>_58h_E30</vt:lpstr>
      <vt:lpstr>_58h_E31</vt:lpstr>
      <vt:lpstr>_58h_E32</vt:lpstr>
      <vt:lpstr>_58h_E33</vt:lpstr>
      <vt:lpstr>_58h_E34</vt:lpstr>
      <vt:lpstr>_58h_E35</vt:lpstr>
      <vt:lpstr>_58h_E36</vt:lpstr>
      <vt:lpstr>_58h_E37</vt:lpstr>
      <vt:lpstr>_58h_E38</vt:lpstr>
      <vt:lpstr>_58h_E39</vt:lpstr>
      <vt:lpstr>_58h_E40</vt:lpstr>
      <vt:lpstr>_58h_E41</vt:lpstr>
      <vt:lpstr>_58h_E42</vt:lpstr>
      <vt:lpstr>_58h_E43</vt:lpstr>
      <vt:lpstr>_58h_E44</vt:lpstr>
      <vt:lpstr>_58h_E45</vt:lpstr>
      <vt:lpstr>_58h_E46</vt:lpstr>
      <vt:lpstr>_58h_E47</vt:lpstr>
      <vt:lpstr>_58h_E48</vt:lpstr>
      <vt:lpstr>_58h_E49</vt:lpstr>
      <vt:lpstr>_58h_E50</vt:lpstr>
      <vt:lpstr>_58h_E51</vt:lpstr>
      <vt:lpstr>_58h_E53</vt:lpstr>
      <vt:lpstr>_58h_E54</vt:lpstr>
      <vt:lpstr>_58h_E55</vt:lpstr>
      <vt:lpstr>_58h_E56</vt:lpstr>
      <vt:lpstr>_58h_E57</vt:lpstr>
      <vt:lpstr>_58h_E58</vt:lpstr>
      <vt:lpstr>_58h_E59</vt:lpstr>
      <vt:lpstr>_58h_E60</vt:lpstr>
      <vt:lpstr>_58h_E61</vt:lpstr>
      <vt:lpstr>_58h_E62</vt:lpstr>
      <vt:lpstr>_58h_E64</vt:lpstr>
      <vt:lpstr>_58h_E65</vt:lpstr>
      <vt:lpstr>_58h_E7</vt:lpstr>
      <vt:lpstr>_58h_E8</vt:lpstr>
      <vt:lpstr>_58h_E9</vt:lpstr>
      <vt:lpstr>_58h_F10</vt:lpstr>
      <vt:lpstr>_58h_F11</vt:lpstr>
      <vt:lpstr>_58h_F12</vt:lpstr>
      <vt:lpstr>_58h_F13</vt:lpstr>
      <vt:lpstr>_58h_F14</vt:lpstr>
      <vt:lpstr>_58h_F15</vt:lpstr>
      <vt:lpstr>_58h_F16</vt:lpstr>
      <vt:lpstr>_58h_F17</vt:lpstr>
      <vt:lpstr>_58h_F18</vt:lpstr>
      <vt:lpstr>_58h_F19</vt:lpstr>
      <vt:lpstr>_58h_F20</vt:lpstr>
      <vt:lpstr>_58h_F21</vt:lpstr>
      <vt:lpstr>_58h_F22</vt:lpstr>
      <vt:lpstr>_58h_F23</vt:lpstr>
      <vt:lpstr>_58h_F24</vt:lpstr>
      <vt:lpstr>_58h_F25</vt:lpstr>
      <vt:lpstr>_58h_F26</vt:lpstr>
      <vt:lpstr>_58h_F27</vt:lpstr>
      <vt:lpstr>_58h_F28</vt:lpstr>
      <vt:lpstr>_58h_F29</vt:lpstr>
      <vt:lpstr>_58h_F30</vt:lpstr>
      <vt:lpstr>_58h_F31</vt:lpstr>
      <vt:lpstr>_58h_F32</vt:lpstr>
      <vt:lpstr>_58h_F33</vt:lpstr>
      <vt:lpstr>_58h_F34</vt:lpstr>
      <vt:lpstr>_58h_F35</vt:lpstr>
      <vt:lpstr>_58h_F36</vt:lpstr>
      <vt:lpstr>_58h_F37</vt:lpstr>
      <vt:lpstr>_58h_F38</vt:lpstr>
      <vt:lpstr>_58h_F39</vt:lpstr>
      <vt:lpstr>_58h_F40</vt:lpstr>
      <vt:lpstr>_58h_F41</vt:lpstr>
      <vt:lpstr>_58h_F42</vt:lpstr>
      <vt:lpstr>_58h_F43</vt:lpstr>
      <vt:lpstr>_58h_F44</vt:lpstr>
      <vt:lpstr>_58h_F45</vt:lpstr>
      <vt:lpstr>_58h_F46</vt:lpstr>
      <vt:lpstr>_58h_F47</vt:lpstr>
      <vt:lpstr>_58h_F48</vt:lpstr>
      <vt:lpstr>_58h_F49</vt:lpstr>
      <vt:lpstr>_58h_F50</vt:lpstr>
      <vt:lpstr>_58h_F51</vt:lpstr>
      <vt:lpstr>_58h_F53</vt:lpstr>
      <vt:lpstr>_58h_F54</vt:lpstr>
      <vt:lpstr>_58h_F55</vt:lpstr>
      <vt:lpstr>_58h_F56</vt:lpstr>
      <vt:lpstr>_58h_F57</vt:lpstr>
      <vt:lpstr>_58h_F58</vt:lpstr>
      <vt:lpstr>_58h_F59</vt:lpstr>
      <vt:lpstr>_58h_F60</vt:lpstr>
      <vt:lpstr>_58h_F61</vt:lpstr>
      <vt:lpstr>_58h_F62</vt:lpstr>
      <vt:lpstr>_58h_F64</vt:lpstr>
      <vt:lpstr>_58h_F65</vt:lpstr>
      <vt:lpstr>_58h_F7</vt:lpstr>
      <vt:lpstr>_58h_F8</vt:lpstr>
      <vt:lpstr>_58h_F9</vt:lpstr>
      <vt:lpstr>_59h_E10</vt:lpstr>
      <vt:lpstr>_59h_E11</vt:lpstr>
      <vt:lpstr>_59h_E12</vt:lpstr>
      <vt:lpstr>_59h_E13</vt:lpstr>
      <vt:lpstr>_59h_E14</vt:lpstr>
      <vt:lpstr>_59h_E15</vt:lpstr>
      <vt:lpstr>_59h_E16</vt:lpstr>
      <vt:lpstr>_59h_E17</vt:lpstr>
      <vt:lpstr>_59h_E18</vt:lpstr>
      <vt:lpstr>_59h_E19</vt:lpstr>
      <vt:lpstr>_59h_E20</vt:lpstr>
      <vt:lpstr>_59h_E21</vt:lpstr>
      <vt:lpstr>_59h_E22</vt:lpstr>
      <vt:lpstr>_59h_E23</vt:lpstr>
      <vt:lpstr>_59h_E24</vt:lpstr>
      <vt:lpstr>_59h_E25</vt:lpstr>
      <vt:lpstr>_59h_E26</vt:lpstr>
      <vt:lpstr>_59h_E27</vt:lpstr>
      <vt:lpstr>_59h_E28</vt:lpstr>
      <vt:lpstr>_59h_E29</vt:lpstr>
      <vt:lpstr>_59h_E30</vt:lpstr>
      <vt:lpstr>_59h_E31</vt:lpstr>
      <vt:lpstr>_59h_E32</vt:lpstr>
      <vt:lpstr>_59h_E33</vt:lpstr>
      <vt:lpstr>_59h_E34</vt:lpstr>
      <vt:lpstr>_59h_E35</vt:lpstr>
      <vt:lpstr>_59h_E36</vt:lpstr>
      <vt:lpstr>_59h_E37</vt:lpstr>
      <vt:lpstr>_59h_E38</vt:lpstr>
      <vt:lpstr>_59h_E39</vt:lpstr>
      <vt:lpstr>_59h_E40</vt:lpstr>
      <vt:lpstr>_59h_E41</vt:lpstr>
      <vt:lpstr>_59h_E42</vt:lpstr>
      <vt:lpstr>_59h_E43</vt:lpstr>
      <vt:lpstr>_59h_E44</vt:lpstr>
      <vt:lpstr>_59h_E45</vt:lpstr>
      <vt:lpstr>_59h_E46</vt:lpstr>
      <vt:lpstr>_59h_E47</vt:lpstr>
      <vt:lpstr>_59h_E48</vt:lpstr>
      <vt:lpstr>_59h_E49</vt:lpstr>
      <vt:lpstr>_59h_E50</vt:lpstr>
      <vt:lpstr>_59h_E51</vt:lpstr>
      <vt:lpstr>_59h_E53</vt:lpstr>
      <vt:lpstr>_59h_E54</vt:lpstr>
      <vt:lpstr>_59h_E55</vt:lpstr>
      <vt:lpstr>_59h_E56</vt:lpstr>
      <vt:lpstr>_59h_E57</vt:lpstr>
      <vt:lpstr>_59h_E58</vt:lpstr>
      <vt:lpstr>_59h_E59</vt:lpstr>
      <vt:lpstr>_59h_E60</vt:lpstr>
      <vt:lpstr>_59h_E61</vt:lpstr>
      <vt:lpstr>_59h_E62</vt:lpstr>
      <vt:lpstr>_59h_E64</vt:lpstr>
      <vt:lpstr>_59h_E65</vt:lpstr>
      <vt:lpstr>_59h_E7</vt:lpstr>
      <vt:lpstr>_59h_E8</vt:lpstr>
      <vt:lpstr>_59h_E9</vt:lpstr>
      <vt:lpstr>_59h_F10</vt:lpstr>
      <vt:lpstr>_59h_F11</vt:lpstr>
      <vt:lpstr>_59h_F12</vt:lpstr>
      <vt:lpstr>_59h_F13</vt:lpstr>
      <vt:lpstr>_59h_F14</vt:lpstr>
      <vt:lpstr>_59h_F15</vt:lpstr>
      <vt:lpstr>_59h_F16</vt:lpstr>
      <vt:lpstr>_59h_F17</vt:lpstr>
      <vt:lpstr>_59h_F18</vt:lpstr>
      <vt:lpstr>_59h_F19</vt:lpstr>
      <vt:lpstr>_59h_F20</vt:lpstr>
      <vt:lpstr>_59h_F21</vt:lpstr>
      <vt:lpstr>_59h_F22</vt:lpstr>
      <vt:lpstr>_59h_F23</vt:lpstr>
      <vt:lpstr>_59h_F24</vt:lpstr>
      <vt:lpstr>_59h_F25</vt:lpstr>
      <vt:lpstr>_59h_F26</vt:lpstr>
      <vt:lpstr>_59h_F27</vt:lpstr>
      <vt:lpstr>_59h_F28</vt:lpstr>
      <vt:lpstr>_59h_F29</vt:lpstr>
      <vt:lpstr>_59h_F30</vt:lpstr>
      <vt:lpstr>_59h_F31</vt:lpstr>
      <vt:lpstr>_59h_F32</vt:lpstr>
      <vt:lpstr>_59h_F33</vt:lpstr>
      <vt:lpstr>_59h_F34</vt:lpstr>
      <vt:lpstr>_59h_F35</vt:lpstr>
      <vt:lpstr>_59h_F36</vt:lpstr>
      <vt:lpstr>_59h_F37</vt:lpstr>
      <vt:lpstr>_59h_F38</vt:lpstr>
      <vt:lpstr>_59h_F39</vt:lpstr>
      <vt:lpstr>_59h_F40</vt:lpstr>
      <vt:lpstr>_59h_F41</vt:lpstr>
      <vt:lpstr>_59h_F42</vt:lpstr>
      <vt:lpstr>_59h_F43</vt:lpstr>
      <vt:lpstr>_59h_F44</vt:lpstr>
      <vt:lpstr>_59h_F45</vt:lpstr>
      <vt:lpstr>_59h_F46</vt:lpstr>
      <vt:lpstr>_59h_F47</vt:lpstr>
      <vt:lpstr>_59h_F48</vt:lpstr>
      <vt:lpstr>_59h_F49</vt:lpstr>
      <vt:lpstr>_59h_F50</vt:lpstr>
      <vt:lpstr>_59h_F51</vt:lpstr>
      <vt:lpstr>_59h_F53</vt:lpstr>
      <vt:lpstr>_59h_F54</vt:lpstr>
      <vt:lpstr>_59h_F55</vt:lpstr>
      <vt:lpstr>_59h_F56</vt:lpstr>
      <vt:lpstr>_59h_F57</vt:lpstr>
      <vt:lpstr>_59h_F58</vt:lpstr>
      <vt:lpstr>_59h_F59</vt:lpstr>
      <vt:lpstr>_59h_F60</vt:lpstr>
      <vt:lpstr>_59h_F61</vt:lpstr>
      <vt:lpstr>_59h_F62</vt:lpstr>
      <vt:lpstr>_59h_F64</vt:lpstr>
      <vt:lpstr>_59h_F65</vt:lpstr>
      <vt:lpstr>_59h_F7</vt:lpstr>
      <vt:lpstr>_59h_F8</vt:lpstr>
      <vt:lpstr>_59h_F9</vt:lpstr>
      <vt:lpstr>_5h_E10</vt:lpstr>
      <vt:lpstr>_5h_E11</vt:lpstr>
      <vt:lpstr>_5h_E12</vt:lpstr>
      <vt:lpstr>_5h_E13</vt:lpstr>
      <vt:lpstr>_5h_E14</vt:lpstr>
      <vt:lpstr>_5h_E15</vt:lpstr>
      <vt:lpstr>_5h_E16</vt:lpstr>
      <vt:lpstr>_5h_E17</vt:lpstr>
      <vt:lpstr>_5h_E18</vt:lpstr>
      <vt:lpstr>_5h_E19</vt:lpstr>
      <vt:lpstr>_5h_E20</vt:lpstr>
      <vt:lpstr>_5h_E21</vt:lpstr>
      <vt:lpstr>_5h_E22</vt:lpstr>
      <vt:lpstr>_5h_E23</vt:lpstr>
      <vt:lpstr>_5h_E24</vt:lpstr>
      <vt:lpstr>_5h_E25</vt:lpstr>
      <vt:lpstr>_5h_E26</vt:lpstr>
      <vt:lpstr>_5h_E27</vt:lpstr>
      <vt:lpstr>_5h_E28</vt:lpstr>
      <vt:lpstr>_5h_E29</vt:lpstr>
      <vt:lpstr>_5h_E30</vt:lpstr>
      <vt:lpstr>_5h_E31</vt:lpstr>
      <vt:lpstr>_5h_E32</vt:lpstr>
      <vt:lpstr>_5h_E33</vt:lpstr>
      <vt:lpstr>_5h_E34</vt:lpstr>
      <vt:lpstr>_5h_E35</vt:lpstr>
      <vt:lpstr>_5h_E36</vt:lpstr>
      <vt:lpstr>_5h_E37</vt:lpstr>
      <vt:lpstr>_5h_E38</vt:lpstr>
      <vt:lpstr>_5h_E39</vt:lpstr>
      <vt:lpstr>_5h_E40</vt:lpstr>
      <vt:lpstr>_5h_E41</vt:lpstr>
      <vt:lpstr>_5h_E42</vt:lpstr>
      <vt:lpstr>_5h_E43</vt:lpstr>
      <vt:lpstr>_5h_E44</vt:lpstr>
      <vt:lpstr>_5h_E45</vt:lpstr>
      <vt:lpstr>_5h_E46</vt:lpstr>
      <vt:lpstr>_5h_E47</vt:lpstr>
      <vt:lpstr>_5h_E48</vt:lpstr>
      <vt:lpstr>_5h_E49</vt:lpstr>
      <vt:lpstr>_5h_E50</vt:lpstr>
      <vt:lpstr>_5h_E51</vt:lpstr>
      <vt:lpstr>_5h_E53</vt:lpstr>
      <vt:lpstr>_5h_E54</vt:lpstr>
      <vt:lpstr>_5h_E55</vt:lpstr>
      <vt:lpstr>_5h_E56</vt:lpstr>
      <vt:lpstr>_5h_E57</vt:lpstr>
      <vt:lpstr>_5h_E58</vt:lpstr>
      <vt:lpstr>_5h_E59</vt:lpstr>
      <vt:lpstr>_5h_E60</vt:lpstr>
      <vt:lpstr>_5h_E61</vt:lpstr>
      <vt:lpstr>_5h_E62</vt:lpstr>
      <vt:lpstr>_5h_E64</vt:lpstr>
      <vt:lpstr>_5h_E65</vt:lpstr>
      <vt:lpstr>_5h_E7</vt:lpstr>
      <vt:lpstr>_5h_E8</vt:lpstr>
      <vt:lpstr>_5h_E9</vt:lpstr>
      <vt:lpstr>_5h_F10</vt:lpstr>
      <vt:lpstr>_5h_F11</vt:lpstr>
      <vt:lpstr>_5h_F12</vt:lpstr>
      <vt:lpstr>_5h_F13</vt:lpstr>
      <vt:lpstr>_5h_F14</vt:lpstr>
      <vt:lpstr>_5h_F15</vt:lpstr>
      <vt:lpstr>_5h_F16</vt:lpstr>
      <vt:lpstr>_5h_F17</vt:lpstr>
      <vt:lpstr>_5h_F18</vt:lpstr>
      <vt:lpstr>_5h_F19</vt:lpstr>
      <vt:lpstr>_5h_F20</vt:lpstr>
      <vt:lpstr>_5h_F21</vt:lpstr>
      <vt:lpstr>_5h_F22</vt:lpstr>
      <vt:lpstr>_5h_F23</vt:lpstr>
      <vt:lpstr>_5h_F24</vt:lpstr>
      <vt:lpstr>_5h_F25</vt:lpstr>
      <vt:lpstr>_5h_F26</vt:lpstr>
      <vt:lpstr>_5h_F27</vt:lpstr>
      <vt:lpstr>_5h_F28</vt:lpstr>
      <vt:lpstr>_5h_F29</vt:lpstr>
      <vt:lpstr>_5h_F30</vt:lpstr>
      <vt:lpstr>_5h_F31</vt:lpstr>
      <vt:lpstr>_5h_F32</vt:lpstr>
      <vt:lpstr>_5h_F33</vt:lpstr>
      <vt:lpstr>_5h_F34</vt:lpstr>
      <vt:lpstr>_5h_F35</vt:lpstr>
      <vt:lpstr>_5h_F36</vt:lpstr>
      <vt:lpstr>_5h_F37</vt:lpstr>
      <vt:lpstr>_5h_F38</vt:lpstr>
      <vt:lpstr>_5h_F39</vt:lpstr>
      <vt:lpstr>_5h_F40</vt:lpstr>
      <vt:lpstr>_5h_F41</vt:lpstr>
      <vt:lpstr>_5h_F42</vt:lpstr>
      <vt:lpstr>_5h_F43</vt:lpstr>
      <vt:lpstr>_5h_F44</vt:lpstr>
      <vt:lpstr>_5h_F45</vt:lpstr>
      <vt:lpstr>_5h_F46</vt:lpstr>
      <vt:lpstr>_5h_F47</vt:lpstr>
      <vt:lpstr>_5h_F48</vt:lpstr>
      <vt:lpstr>_5h_F49</vt:lpstr>
      <vt:lpstr>_5h_F50</vt:lpstr>
      <vt:lpstr>_5h_F51</vt:lpstr>
      <vt:lpstr>_5h_F53</vt:lpstr>
      <vt:lpstr>_5h_F54</vt:lpstr>
      <vt:lpstr>_5h_F55</vt:lpstr>
      <vt:lpstr>_5h_F56</vt:lpstr>
      <vt:lpstr>_5h_F57</vt:lpstr>
      <vt:lpstr>_5h_F58</vt:lpstr>
      <vt:lpstr>_5h_F59</vt:lpstr>
      <vt:lpstr>_5h_F60</vt:lpstr>
      <vt:lpstr>_5h_F61</vt:lpstr>
      <vt:lpstr>_5h_F62</vt:lpstr>
      <vt:lpstr>_5h_F64</vt:lpstr>
      <vt:lpstr>_5h_F65</vt:lpstr>
      <vt:lpstr>_5h_F7</vt:lpstr>
      <vt:lpstr>_5h_F8</vt:lpstr>
      <vt:lpstr>_5h_F9</vt:lpstr>
      <vt:lpstr>_60h_E10</vt:lpstr>
      <vt:lpstr>_60h_E11</vt:lpstr>
      <vt:lpstr>_60h_E12</vt:lpstr>
      <vt:lpstr>_60h_E13</vt:lpstr>
      <vt:lpstr>_60h_E14</vt:lpstr>
      <vt:lpstr>_60h_E15</vt:lpstr>
      <vt:lpstr>_60h_E16</vt:lpstr>
      <vt:lpstr>_60h_E17</vt:lpstr>
      <vt:lpstr>_60h_E18</vt:lpstr>
      <vt:lpstr>_60h_E19</vt:lpstr>
      <vt:lpstr>_60h_E20</vt:lpstr>
      <vt:lpstr>_60h_E21</vt:lpstr>
      <vt:lpstr>_60h_E22</vt:lpstr>
      <vt:lpstr>_60h_E23</vt:lpstr>
      <vt:lpstr>_60h_E24</vt:lpstr>
      <vt:lpstr>_60h_E25</vt:lpstr>
      <vt:lpstr>_60h_E26</vt:lpstr>
      <vt:lpstr>_60h_E27</vt:lpstr>
      <vt:lpstr>_60h_E28</vt:lpstr>
      <vt:lpstr>_60h_E29</vt:lpstr>
      <vt:lpstr>_60h_E30</vt:lpstr>
      <vt:lpstr>_60h_E31</vt:lpstr>
      <vt:lpstr>_60h_E32</vt:lpstr>
      <vt:lpstr>_60h_E33</vt:lpstr>
      <vt:lpstr>_60h_E34</vt:lpstr>
      <vt:lpstr>_60h_E35</vt:lpstr>
      <vt:lpstr>_60h_E36</vt:lpstr>
      <vt:lpstr>_60h_E37</vt:lpstr>
      <vt:lpstr>_60h_E38</vt:lpstr>
      <vt:lpstr>_60h_E39</vt:lpstr>
      <vt:lpstr>_60h_E40</vt:lpstr>
      <vt:lpstr>_60h_E41</vt:lpstr>
      <vt:lpstr>_60h_E42</vt:lpstr>
      <vt:lpstr>_60h_E43</vt:lpstr>
      <vt:lpstr>_60h_E44</vt:lpstr>
      <vt:lpstr>_60h_E45</vt:lpstr>
      <vt:lpstr>_60h_E46</vt:lpstr>
      <vt:lpstr>_60h_E47</vt:lpstr>
      <vt:lpstr>_60h_E48</vt:lpstr>
      <vt:lpstr>_60h_E49</vt:lpstr>
      <vt:lpstr>_60h_E50</vt:lpstr>
      <vt:lpstr>_60h_E51</vt:lpstr>
      <vt:lpstr>_60h_E53</vt:lpstr>
      <vt:lpstr>_60h_E54</vt:lpstr>
      <vt:lpstr>_60h_E55</vt:lpstr>
      <vt:lpstr>_60h_E56</vt:lpstr>
      <vt:lpstr>_60h_E57</vt:lpstr>
      <vt:lpstr>_60h_E58</vt:lpstr>
      <vt:lpstr>_60h_E59</vt:lpstr>
      <vt:lpstr>_60h_E60</vt:lpstr>
      <vt:lpstr>_60h_E61</vt:lpstr>
      <vt:lpstr>_60h_E62</vt:lpstr>
      <vt:lpstr>_60h_E64</vt:lpstr>
      <vt:lpstr>_60h_E65</vt:lpstr>
      <vt:lpstr>_60h_E7</vt:lpstr>
      <vt:lpstr>_60h_E8</vt:lpstr>
      <vt:lpstr>_60h_E9</vt:lpstr>
      <vt:lpstr>_60h_F10</vt:lpstr>
      <vt:lpstr>_60h_F11</vt:lpstr>
      <vt:lpstr>_60h_F12</vt:lpstr>
      <vt:lpstr>_60h_F13</vt:lpstr>
      <vt:lpstr>_60h_F14</vt:lpstr>
      <vt:lpstr>_60h_F15</vt:lpstr>
      <vt:lpstr>_60h_F16</vt:lpstr>
      <vt:lpstr>_60h_F17</vt:lpstr>
      <vt:lpstr>_60h_F18</vt:lpstr>
      <vt:lpstr>_60h_F19</vt:lpstr>
      <vt:lpstr>_60h_F20</vt:lpstr>
      <vt:lpstr>_60h_F21</vt:lpstr>
      <vt:lpstr>_60h_F22</vt:lpstr>
      <vt:lpstr>_60h_F23</vt:lpstr>
      <vt:lpstr>_60h_F24</vt:lpstr>
      <vt:lpstr>_60h_F25</vt:lpstr>
      <vt:lpstr>_60h_F26</vt:lpstr>
      <vt:lpstr>_60h_F27</vt:lpstr>
      <vt:lpstr>_60h_F28</vt:lpstr>
      <vt:lpstr>_60h_F29</vt:lpstr>
      <vt:lpstr>_60h_F30</vt:lpstr>
      <vt:lpstr>_60h_F31</vt:lpstr>
      <vt:lpstr>_60h_F32</vt:lpstr>
      <vt:lpstr>_60h_F33</vt:lpstr>
      <vt:lpstr>_60h_F34</vt:lpstr>
      <vt:lpstr>_60h_F35</vt:lpstr>
      <vt:lpstr>_60h_F36</vt:lpstr>
      <vt:lpstr>_60h_F37</vt:lpstr>
      <vt:lpstr>_60h_F38</vt:lpstr>
      <vt:lpstr>_60h_F39</vt:lpstr>
      <vt:lpstr>_60h_F40</vt:lpstr>
      <vt:lpstr>_60h_F41</vt:lpstr>
      <vt:lpstr>_60h_F42</vt:lpstr>
      <vt:lpstr>_60h_F43</vt:lpstr>
      <vt:lpstr>_60h_F44</vt:lpstr>
      <vt:lpstr>_60h_F45</vt:lpstr>
      <vt:lpstr>_60h_F46</vt:lpstr>
      <vt:lpstr>_60h_F47</vt:lpstr>
      <vt:lpstr>_60h_F48</vt:lpstr>
      <vt:lpstr>_60h_F49</vt:lpstr>
      <vt:lpstr>_60h_F50</vt:lpstr>
      <vt:lpstr>_60h_F51</vt:lpstr>
      <vt:lpstr>_60h_F53</vt:lpstr>
      <vt:lpstr>_60h_F54</vt:lpstr>
      <vt:lpstr>_60h_F55</vt:lpstr>
      <vt:lpstr>_60h_F56</vt:lpstr>
      <vt:lpstr>_60h_F57</vt:lpstr>
      <vt:lpstr>_60h_F58</vt:lpstr>
      <vt:lpstr>_60h_F59</vt:lpstr>
      <vt:lpstr>_60h_F60</vt:lpstr>
      <vt:lpstr>_60h_F61</vt:lpstr>
      <vt:lpstr>_60h_F62</vt:lpstr>
      <vt:lpstr>_60h_F64</vt:lpstr>
      <vt:lpstr>_60h_F65</vt:lpstr>
      <vt:lpstr>_60h_F7</vt:lpstr>
      <vt:lpstr>_60h_F8</vt:lpstr>
      <vt:lpstr>_60h_F9</vt:lpstr>
      <vt:lpstr>_61h_E10</vt:lpstr>
      <vt:lpstr>_61h_E11</vt:lpstr>
      <vt:lpstr>_61h_E12</vt:lpstr>
      <vt:lpstr>_61h_E13</vt:lpstr>
      <vt:lpstr>_61h_E14</vt:lpstr>
      <vt:lpstr>_61h_E15</vt:lpstr>
      <vt:lpstr>_61h_E16</vt:lpstr>
      <vt:lpstr>_61h_E17</vt:lpstr>
      <vt:lpstr>_61h_E18</vt:lpstr>
      <vt:lpstr>_61h_E19</vt:lpstr>
      <vt:lpstr>_61h_E20</vt:lpstr>
      <vt:lpstr>_61h_E21</vt:lpstr>
      <vt:lpstr>_61h_E22</vt:lpstr>
      <vt:lpstr>_61h_E23</vt:lpstr>
      <vt:lpstr>_61h_E24</vt:lpstr>
      <vt:lpstr>_61h_E25</vt:lpstr>
      <vt:lpstr>_61h_E26</vt:lpstr>
      <vt:lpstr>_61h_E27</vt:lpstr>
      <vt:lpstr>_61h_E28</vt:lpstr>
      <vt:lpstr>_61h_E29</vt:lpstr>
      <vt:lpstr>_61h_E30</vt:lpstr>
      <vt:lpstr>_61h_E31</vt:lpstr>
      <vt:lpstr>_61h_E32</vt:lpstr>
      <vt:lpstr>_61h_E33</vt:lpstr>
      <vt:lpstr>_61h_E34</vt:lpstr>
      <vt:lpstr>_61h_E35</vt:lpstr>
      <vt:lpstr>_61h_E36</vt:lpstr>
      <vt:lpstr>_61h_E37</vt:lpstr>
      <vt:lpstr>_61h_E38</vt:lpstr>
      <vt:lpstr>_61h_E39</vt:lpstr>
      <vt:lpstr>_61h_E40</vt:lpstr>
      <vt:lpstr>_61h_E41</vt:lpstr>
      <vt:lpstr>_61h_E42</vt:lpstr>
      <vt:lpstr>_61h_E43</vt:lpstr>
      <vt:lpstr>_61h_E44</vt:lpstr>
      <vt:lpstr>_61h_E45</vt:lpstr>
      <vt:lpstr>_61h_E46</vt:lpstr>
      <vt:lpstr>_61h_E47</vt:lpstr>
      <vt:lpstr>_61h_E48</vt:lpstr>
      <vt:lpstr>_61h_E49</vt:lpstr>
      <vt:lpstr>_61h_E50</vt:lpstr>
      <vt:lpstr>_61h_E51</vt:lpstr>
      <vt:lpstr>_61h_E53</vt:lpstr>
      <vt:lpstr>_61h_E54</vt:lpstr>
      <vt:lpstr>_61h_E55</vt:lpstr>
      <vt:lpstr>_61h_E56</vt:lpstr>
      <vt:lpstr>_61h_E57</vt:lpstr>
      <vt:lpstr>_61h_E58</vt:lpstr>
      <vt:lpstr>_61h_E59</vt:lpstr>
      <vt:lpstr>_61h_E60</vt:lpstr>
      <vt:lpstr>_61h_E61</vt:lpstr>
      <vt:lpstr>_61h_E62</vt:lpstr>
      <vt:lpstr>_61h_E64</vt:lpstr>
      <vt:lpstr>_61h_E65</vt:lpstr>
      <vt:lpstr>_61h_E7</vt:lpstr>
      <vt:lpstr>_61h_E8</vt:lpstr>
      <vt:lpstr>_61h_E9</vt:lpstr>
      <vt:lpstr>_61h_F10</vt:lpstr>
      <vt:lpstr>_61h_F11</vt:lpstr>
      <vt:lpstr>_61h_F12</vt:lpstr>
      <vt:lpstr>_61h_F13</vt:lpstr>
      <vt:lpstr>_61h_F14</vt:lpstr>
      <vt:lpstr>_61h_F15</vt:lpstr>
      <vt:lpstr>_61h_F16</vt:lpstr>
      <vt:lpstr>_61h_F17</vt:lpstr>
      <vt:lpstr>_61h_F18</vt:lpstr>
      <vt:lpstr>_61h_F19</vt:lpstr>
      <vt:lpstr>_61h_F20</vt:lpstr>
      <vt:lpstr>_61h_F21</vt:lpstr>
      <vt:lpstr>_61h_F22</vt:lpstr>
      <vt:lpstr>_61h_F23</vt:lpstr>
      <vt:lpstr>_61h_F24</vt:lpstr>
      <vt:lpstr>_61h_F25</vt:lpstr>
      <vt:lpstr>_61h_F26</vt:lpstr>
      <vt:lpstr>_61h_F27</vt:lpstr>
      <vt:lpstr>_61h_F28</vt:lpstr>
      <vt:lpstr>_61h_F29</vt:lpstr>
      <vt:lpstr>_61h_F30</vt:lpstr>
      <vt:lpstr>_61h_F31</vt:lpstr>
      <vt:lpstr>_61h_F32</vt:lpstr>
      <vt:lpstr>_61h_F33</vt:lpstr>
      <vt:lpstr>_61h_F34</vt:lpstr>
      <vt:lpstr>_61h_F35</vt:lpstr>
      <vt:lpstr>_61h_F36</vt:lpstr>
      <vt:lpstr>_61h_F37</vt:lpstr>
      <vt:lpstr>_61h_F38</vt:lpstr>
      <vt:lpstr>_61h_F39</vt:lpstr>
      <vt:lpstr>_61h_F40</vt:lpstr>
      <vt:lpstr>_61h_F41</vt:lpstr>
      <vt:lpstr>_61h_F42</vt:lpstr>
      <vt:lpstr>_61h_F43</vt:lpstr>
      <vt:lpstr>_61h_F44</vt:lpstr>
      <vt:lpstr>_61h_F45</vt:lpstr>
      <vt:lpstr>_61h_F46</vt:lpstr>
      <vt:lpstr>_61h_F47</vt:lpstr>
      <vt:lpstr>_61h_F48</vt:lpstr>
      <vt:lpstr>_61h_F49</vt:lpstr>
      <vt:lpstr>_61h_F50</vt:lpstr>
      <vt:lpstr>_61h_F51</vt:lpstr>
      <vt:lpstr>_61h_F53</vt:lpstr>
      <vt:lpstr>_61h_F54</vt:lpstr>
      <vt:lpstr>_61h_F55</vt:lpstr>
      <vt:lpstr>_61h_F56</vt:lpstr>
      <vt:lpstr>_61h_F57</vt:lpstr>
      <vt:lpstr>_61h_F58</vt:lpstr>
      <vt:lpstr>_61h_F59</vt:lpstr>
      <vt:lpstr>_61h_F60</vt:lpstr>
      <vt:lpstr>_61h_F61</vt:lpstr>
      <vt:lpstr>_61h_F62</vt:lpstr>
      <vt:lpstr>_61h_F64</vt:lpstr>
      <vt:lpstr>_61h_F65</vt:lpstr>
      <vt:lpstr>_61h_F7</vt:lpstr>
      <vt:lpstr>_61h_F8</vt:lpstr>
      <vt:lpstr>_61h_F9</vt:lpstr>
      <vt:lpstr>_62h_E10</vt:lpstr>
      <vt:lpstr>_62h_E11</vt:lpstr>
      <vt:lpstr>_62h_E12</vt:lpstr>
      <vt:lpstr>_62h_E13</vt:lpstr>
      <vt:lpstr>_62h_E14</vt:lpstr>
      <vt:lpstr>_62h_E15</vt:lpstr>
      <vt:lpstr>_62h_E16</vt:lpstr>
      <vt:lpstr>_62h_E17</vt:lpstr>
      <vt:lpstr>_62h_E18</vt:lpstr>
      <vt:lpstr>_62h_E19</vt:lpstr>
      <vt:lpstr>_62h_E20</vt:lpstr>
      <vt:lpstr>_62h_E21</vt:lpstr>
      <vt:lpstr>_62h_E22</vt:lpstr>
      <vt:lpstr>_62h_E23</vt:lpstr>
      <vt:lpstr>_62h_E24</vt:lpstr>
      <vt:lpstr>_62h_E25</vt:lpstr>
      <vt:lpstr>_62h_E26</vt:lpstr>
      <vt:lpstr>_62h_E27</vt:lpstr>
      <vt:lpstr>_62h_E28</vt:lpstr>
      <vt:lpstr>_62h_E29</vt:lpstr>
      <vt:lpstr>_62h_E30</vt:lpstr>
      <vt:lpstr>_62h_E31</vt:lpstr>
      <vt:lpstr>_62h_E32</vt:lpstr>
      <vt:lpstr>_62h_E33</vt:lpstr>
      <vt:lpstr>_62h_E34</vt:lpstr>
      <vt:lpstr>_62h_E35</vt:lpstr>
      <vt:lpstr>_62h_E36</vt:lpstr>
      <vt:lpstr>_62h_E37</vt:lpstr>
      <vt:lpstr>_62h_E38</vt:lpstr>
      <vt:lpstr>_62h_E39</vt:lpstr>
      <vt:lpstr>_62h_E40</vt:lpstr>
      <vt:lpstr>_62h_E41</vt:lpstr>
      <vt:lpstr>_62h_E42</vt:lpstr>
      <vt:lpstr>_62h_E43</vt:lpstr>
      <vt:lpstr>_62h_E44</vt:lpstr>
      <vt:lpstr>_62h_E45</vt:lpstr>
      <vt:lpstr>_62h_E46</vt:lpstr>
      <vt:lpstr>_62h_E47</vt:lpstr>
      <vt:lpstr>_62h_E48</vt:lpstr>
      <vt:lpstr>_62h_E49</vt:lpstr>
      <vt:lpstr>_62h_E50</vt:lpstr>
      <vt:lpstr>_62h_E51</vt:lpstr>
      <vt:lpstr>_62h_E53</vt:lpstr>
      <vt:lpstr>_62h_E54</vt:lpstr>
      <vt:lpstr>_62h_E55</vt:lpstr>
      <vt:lpstr>_62h_E56</vt:lpstr>
      <vt:lpstr>_62h_E57</vt:lpstr>
      <vt:lpstr>_62h_E58</vt:lpstr>
      <vt:lpstr>_62h_E59</vt:lpstr>
      <vt:lpstr>_62h_E60</vt:lpstr>
      <vt:lpstr>_62h_E61</vt:lpstr>
      <vt:lpstr>_62h_E62</vt:lpstr>
      <vt:lpstr>_62h_E64</vt:lpstr>
      <vt:lpstr>_62h_E65</vt:lpstr>
      <vt:lpstr>_62h_E7</vt:lpstr>
      <vt:lpstr>_62h_E8</vt:lpstr>
      <vt:lpstr>_62h_E9</vt:lpstr>
      <vt:lpstr>_62h_F10</vt:lpstr>
      <vt:lpstr>_62h_F11</vt:lpstr>
      <vt:lpstr>_62h_F12</vt:lpstr>
      <vt:lpstr>_62h_F13</vt:lpstr>
      <vt:lpstr>_62h_F14</vt:lpstr>
      <vt:lpstr>_62h_F15</vt:lpstr>
      <vt:lpstr>_62h_F16</vt:lpstr>
      <vt:lpstr>_62h_F17</vt:lpstr>
      <vt:lpstr>_62h_F18</vt:lpstr>
      <vt:lpstr>_62h_F19</vt:lpstr>
      <vt:lpstr>_62h_F20</vt:lpstr>
      <vt:lpstr>_62h_F21</vt:lpstr>
      <vt:lpstr>_62h_F22</vt:lpstr>
      <vt:lpstr>_62h_F23</vt:lpstr>
      <vt:lpstr>_62h_F24</vt:lpstr>
      <vt:lpstr>_62h_F25</vt:lpstr>
      <vt:lpstr>_62h_F26</vt:lpstr>
      <vt:lpstr>_62h_F27</vt:lpstr>
      <vt:lpstr>_62h_F28</vt:lpstr>
      <vt:lpstr>_62h_F29</vt:lpstr>
      <vt:lpstr>_62h_F30</vt:lpstr>
      <vt:lpstr>_62h_F31</vt:lpstr>
      <vt:lpstr>_62h_F32</vt:lpstr>
      <vt:lpstr>_62h_F33</vt:lpstr>
      <vt:lpstr>_62h_F34</vt:lpstr>
      <vt:lpstr>_62h_F35</vt:lpstr>
      <vt:lpstr>_62h_F36</vt:lpstr>
      <vt:lpstr>_62h_F37</vt:lpstr>
      <vt:lpstr>_62h_F38</vt:lpstr>
      <vt:lpstr>_62h_F39</vt:lpstr>
      <vt:lpstr>_62h_F40</vt:lpstr>
      <vt:lpstr>_62h_F41</vt:lpstr>
      <vt:lpstr>_62h_F42</vt:lpstr>
      <vt:lpstr>_62h_F43</vt:lpstr>
      <vt:lpstr>_62h_F44</vt:lpstr>
      <vt:lpstr>_62h_F45</vt:lpstr>
      <vt:lpstr>_62h_F46</vt:lpstr>
      <vt:lpstr>_62h_F47</vt:lpstr>
      <vt:lpstr>_62h_F48</vt:lpstr>
      <vt:lpstr>_62h_F49</vt:lpstr>
      <vt:lpstr>_62h_F50</vt:lpstr>
      <vt:lpstr>_62h_F51</vt:lpstr>
      <vt:lpstr>_62h_F53</vt:lpstr>
      <vt:lpstr>_62h_F54</vt:lpstr>
      <vt:lpstr>_62h_F55</vt:lpstr>
      <vt:lpstr>_62h_F56</vt:lpstr>
      <vt:lpstr>_62h_F57</vt:lpstr>
      <vt:lpstr>_62h_F58</vt:lpstr>
      <vt:lpstr>_62h_F59</vt:lpstr>
      <vt:lpstr>_62h_F60</vt:lpstr>
      <vt:lpstr>_62h_F61</vt:lpstr>
      <vt:lpstr>_62h_F62</vt:lpstr>
      <vt:lpstr>_62h_F64</vt:lpstr>
      <vt:lpstr>_62h_F65</vt:lpstr>
      <vt:lpstr>_62h_F7</vt:lpstr>
      <vt:lpstr>_62h_F8</vt:lpstr>
      <vt:lpstr>_62h_F9</vt:lpstr>
      <vt:lpstr>_63h_E10</vt:lpstr>
      <vt:lpstr>_63h_E11</vt:lpstr>
      <vt:lpstr>_63h_E12</vt:lpstr>
      <vt:lpstr>_63h_E13</vt:lpstr>
      <vt:lpstr>_63h_E14</vt:lpstr>
      <vt:lpstr>_63h_E15</vt:lpstr>
      <vt:lpstr>_63h_E16</vt:lpstr>
      <vt:lpstr>_63h_E17</vt:lpstr>
      <vt:lpstr>_63h_E18</vt:lpstr>
      <vt:lpstr>_63h_E19</vt:lpstr>
      <vt:lpstr>_63h_E20</vt:lpstr>
      <vt:lpstr>_63h_E21</vt:lpstr>
      <vt:lpstr>_63h_E22</vt:lpstr>
      <vt:lpstr>_63h_E23</vt:lpstr>
      <vt:lpstr>_63h_E24</vt:lpstr>
      <vt:lpstr>_63h_E25</vt:lpstr>
      <vt:lpstr>_63h_E26</vt:lpstr>
      <vt:lpstr>_63h_E27</vt:lpstr>
      <vt:lpstr>_63h_E28</vt:lpstr>
      <vt:lpstr>_63h_E29</vt:lpstr>
      <vt:lpstr>_63h_E30</vt:lpstr>
      <vt:lpstr>_63h_E31</vt:lpstr>
      <vt:lpstr>_63h_E32</vt:lpstr>
      <vt:lpstr>_63h_E33</vt:lpstr>
      <vt:lpstr>_63h_E34</vt:lpstr>
      <vt:lpstr>_63h_E35</vt:lpstr>
      <vt:lpstr>_63h_E36</vt:lpstr>
      <vt:lpstr>_63h_E37</vt:lpstr>
      <vt:lpstr>_63h_E38</vt:lpstr>
      <vt:lpstr>_63h_E39</vt:lpstr>
      <vt:lpstr>_63h_E40</vt:lpstr>
      <vt:lpstr>_63h_E41</vt:lpstr>
      <vt:lpstr>_63h_E42</vt:lpstr>
      <vt:lpstr>_63h_E43</vt:lpstr>
      <vt:lpstr>_63h_E44</vt:lpstr>
      <vt:lpstr>_63h_E45</vt:lpstr>
      <vt:lpstr>_63h_E46</vt:lpstr>
      <vt:lpstr>_63h_E47</vt:lpstr>
      <vt:lpstr>_63h_E48</vt:lpstr>
      <vt:lpstr>_63h_E49</vt:lpstr>
      <vt:lpstr>_63h_E50</vt:lpstr>
      <vt:lpstr>_63h_E51</vt:lpstr>
      <vt:lpstr>_63h_E53</vt:lpstr>
      <vt:lpstr>_63h_E54</vt:lpstr>
      <vt:lpstr>_63h_E55</vt:lpstr>
      <vt:lpstr>_63h_E56</vt:lpstr>
      <vt:lpstr>_63h_E57</vt:lpstr>
      <vt:lpstr>_63h_E58</vt:lpstr>
      <vt:lpstr>_63h_E59</vt:lpstr>
      <vt:lpstr>_63h_E60</vt:lpstr>
      <vt:lpstr>_63h_E61</vt:lpstr>
      <vt:lpstr>_63h_E62</vt:lpstr>
      <vt:lpstr>_63h_E64</vt:lpstr>
      <vt:lpstr>_63h_E65</vt:lpstr>
      <vt:lpstr>_63h_E7</vt:lpstr>
      <vt:lpstr>_63h_E8</vt:lpstr>
      <vt:lpstr>_63h_E9</vt:lpstr>
      <vt:lpstr>_63h_F10</vt:lpstr>
      <vt:lpstr>_63h_F11</vt:lpstr>
      <vt:lpstr>_63h_F12</vt:lpstr>
      <vt:lpstr>_63h_F13</vt:lpstr>
      <vt:lpstr>_63h_F14</vt:lpstr>
      <vt:lpstr>_63h_F15</vt:lpstr>
      <vt:lpstr>_63h_F16</vt:lpstr>
      <vt:lpstr>_63h_F17</vt:lpstr>
      <vt:lpstr>_63h_F18</vt:lpstr>
      <vt:lpstr>_63h_F19</vt:lpstr>
      <vt:lpstr>_63h_F20</vt:lpstr>
      <vt:lpstr>_63h_F21</vt:lpstr>
      <vt:lpstr>_63h_F22</vt:lpstr>
      <vt:lpstr>_63h_F23</vt:lpstr>
      <vt:lpstr>_63h_F24</vt:lpstr>
      <vt:lpstr>_63h_F25</vt:lpstr>
      <vt:lpstr>_63h_F26</vt:lpstr>
      <vt:lpstr>_63h_F27</vt:lpstr>
      <vt:lpstr>_63h_F28</vt:lpstr>
      <vt:lpstr>_63h_F29</vt:lpstr>
      <vt:lpstr>_63h_F30</vt:lpstr>
      <vt:lpstr>_63h_F31</vt:lpstr>
      <vt:lpstr>_63h_F32</vt:lpstr>
      <vt:lpstr>_63h_F33</vt:lpstr>
      <vt:lpstr>_63h_F34</vt:lpstr>
      <vt:lpstr>_63h_F35</vt:lpstr>
      <vt:lpstr>_63h_F36</vt:lpstr>
      <vt:lpstr>_63h_F37</vt:lpstr>
      <vt:lpstr>_63h_F38</vt:lpstr>
      <vt:lpstr>_63h_F39</vt:lpstr>
      <vt:lpstr>_63h_F40</vt:lpstr>
      <vt:lpstr>_63h_F41</vt:lpstr>
      <vt:lpstr>_63h_F42</vt:lpstr>
      <vt:lpstr>_63h_F43</vt:lpstr>
      <vt:lpstr>_63h_F44</vt:lpstr>
      <vt:lpstr>_63h_F45</vt:lpstr>
      <vt:lpstr>_63h_F46</vt:lpstr>
      <vt:lpstr>_63h_F47</vt:lpstr>
      <vt:lpstr>_63h_F48</vt:lpstr>
      <vt:lpstr>_63h_F49</vt:lpstr>
      <vt:lpstr>_63h_F50</vt:lpstr>
      <vt:lpstr>_63h_F51</vt:lpstr>
      <vt:lpstr>_63h_F53</vt:lpstr>
      <vt:lpstr>_63h_F54</vt:lpstr>
      <vt:lpstr>_63h_F55</vt:lpstr>
      <vt:lpstr>_63h_F56</vt:lpstr>
      <vt:lpstr>_63h_F57</vt:lpstr>
      <vt:lpstr>_63h_F58</vt:lpstr>
      <vt:lpstr>_63h_F59</vt:lpstr>
      <vt:lpstr>_63h_F60</vt:lpstr>
      <vt:lpstr>_63h_F61</vt:lpstr>
      <vt:lpstr>_63h_F62</vt:lpstr>
      <vt:lpstr>_63h_F64</vt:lpstr>
      <vt:lpstr>_63h_F65</vt:lpstr>
      <vt:lpstr>_63h_F7</vt:lpstr>
      <vt:lpstr>_63h_F8</vt:lpstr>
      <vt:lpstr>_63h_F9</vt:lpstr>
      <vt:lpstr>_64h_E10</vt:lpstr>
      <vt:lpstr>_64h_E11</vt:lpstr>
      <vt:lpstr>_64h_E12</vt:lpstr>
      <vt:lpstr>_64h_E13</vt:lpstr>
      <vt:lpstr>_64h_E14</vt:lpstr>
      <vt:lpstr>_64h_E15</vt:lpstr>
      <vt:lpstr>_64h_E16</vt:lpstr>
      <vt:lpstr>_64h_E17</vt:lpstr>
      <vt:lpstr>_64h_E18</vt:lpstr>
      <vt:lpstr>_64h_E19</vt:lpstr>
      <vt:lpstr>_64h_E20</vt:lpstr>
      <vt:lpstr>_64h_E21</vt:lpstr>
      <vt:lpstr>_64h_E22</vt:lpstr>
      <vt:lpstr>_64h_E23</vt:lpstr>
      <vt:lpstr>_64h_E24</vt:lpstr>
      <vt:lpstr>_64h_E25</vt:lpstr>
      <vt:lpstr>_64h_E26</vt:lpstr>
      <vt:lpstr>_64h_E27</vt:lpstr>
      <vt:lpstr>_64h_E28</vt:lpstr>
      <vt:lpstr>_64h_E29</vt:lpstr>
      <vt:lpstr>_64h_E30</vt:lpstr>
      <vt:lpstr>_64h_E31</vt:lpstr>
      <vt:lpstr>_64h_E32</vt:lpstr>
      <vt:lpstr>_64h_E33</vt:lpstr>
      <vt:lpstr>_64h_E34</vt:lpstr>
      <vt:lpstr>_64h_E35</vt:lpstr>
      <vt:lpstr>_64h_E36</vt:lpstr>
      <vt:lpstr>_64h_E37</vt:lpstr>
      <vt:lpstr>_64h_E38</vt:lpstr>
      <vt:lpstr>_64h_E39</vt:lpstr>
      <vt:lpstr>_64h_E40</vt:lpstr>
      <vt:lpstr>_64h_E41</vt:lpstr>
      <vt:lpstr>_64h_E42</vt:lpstr>
      <vt:lpstr>_64h_E43</vt:lpstr>
      <vt:lpstr>_64h_E44</vt:lpstr>
      <vt:lpstr>_64h_E45</vt:lpstr>
      <vt:lpstr>_64h_E46</vt:lpstr>
      <vt:lpstr>_64h_E47</vt:lpstr>
      <vt:lpstr>_64h_E48</vt:lpstr>
      <vt:lpstr>_64h_E49</vt:lpstr>
      <vt:lpstr>_64h_E50</vt:lpstr>
      <vt:lpstr>_64h_E51</vt:lpstr>
      <vt:lpstr>_64h_E53</vt:lpstr>
      <vt:lpstr>_64h_E54</vt:lpstr>
      <vt:lpstr>_64h_E55</vt:lpstr>
      <vt:lpstr>_64h_E56</vt:lpstr>
      <vt:lpstr>_64h_E57</vt:lpstr>
      <vt:lpstr>_64h_E58</vt:lpstr>
      <vt:lpstr>_64h_E59</vt:lpstr>
      <vt:lpstr>_64h_E60</vt:lpstr>
      <vt:lpstr>_64h_E61</vt:lpstr>
      <vt:lpstr>_64h_E62</vt:lpstr>
      <vt:lpstr>_64h_E64</vt:lpstr>
      <vt:lpstr>_64h_E65</vt:lpstr>
      <vt:lpstr>_64h_E7</vt:lpstr>
      <vt:lpstr>_64h_E8</vt:lpstr>
      <vt:lpstr>_64h_E9</vt:lpstr>
      <vt:lpstr>_64h_F10</vt:lpstr>
      <vt:lpstr>_64h_F11</vt:lpstr>
      <vt:lpstr>_64h_F12</vt:lpstr>
      <vt:lpstr>_64h_F13</vt:lpstr>
      <vt:lpstr>_64h_F14</vt:lpstr>
      <vt:lpstr>_64h_F15</vt:lpstr>
      <vt:lpstr>_64h_F16</vt:lpstr>
      <vt:lpstr>_64h_F17</vt:lpstr>
      <vt:lpstr>_64h_F18</vt:lpstr>
      <vt:lpstr>_64h_F19</vt:lpstr>
      <vt:lpstr>_64h_F20</vt:lpstr>
      <vt:lpstr>_64h_F21</vt:lpstr>
      <vt:lpstr>_64h_F22</vt:lpstr>
      <vt:lpstr>_64h_F23</vt:lpstr>
      <vt:lpstr>_64h_F24</vt:lpstr>
      <vt:lpstr>_64h_F25</vt:lpstr>
      <vt:lpstr>_64h_F26</vt:lpstr>
      <vt:lpstr>_64h_F27</vt:lpstr>
      <vt:lpstr>_64h_F28</vt:lpstr>
      <vt:lpstr>_64h_F29</vt:lpstr>
      <vt:lpstr>_64h_F30</vt:lpstr>
      <vt:lpstr>_64h_F31</vt:lpstr>
      <vt:lpstr>_64h_F32</vt:lpstr>
      <vt:lpstr>_64h_F33</vt:lpstr>
      <vt:lpstr>_64h_F34</vt:lpstr>
      <vt:lpstr>_64h_F35</vt:lpstr>
      <vt:lpstr>_64h_F36</vt:lpstr>
      <vt:lpstr>_64h_F37</vt:lpstr>
      <vt:lpstr>_64h_F38</vt:lpstr>
      <vt:lpstr>_64h_F39</vt:lpstr>
      <vt:lpstr>_64h_F40</vt:lpstr>
      <vt:lpstr>_64h_F41</vt:lpstr>
      <vt:lpstr>_64h_F42</vt:lpstr>
      <vt:lpstr>_64h_F43</vt:lpstr>
      <vt:lpstr>_64h_F44</vt:lpstr>
      <vt:lpstr>_64h_F45</vt:lpstr>
      <vt:lpstr>_64h_F46</vt:lpstr>
      <vt:lpstr>_64h_F47</vt:lpstr>
      <vt:lpstr>_64h_F48</vt:lpstr>
      <vt:lpstr>_64h_F49</vt:lpstr>
      <vt:lpstr>_64h_F50</vt:lpstr>
      <vt:lpstr>_64h_F51</vt:lpstr>
      <vt:lpstr>_64h_F53</vt:lpstr>
      <vt:lpstr>_64h_F54</vt:lpstr>
      <vt:lpstr>_64h_F55</vt:lpstr>
      <vt:lpstr>_64h_F56</vt:lpstr>
      <vt:lpstr>_64h_F57</vt:lpstr>
      <vt:lpstr>_64h_F58</vt:lpstr>
      <vt:lpstr>_64h_F59</vt:lpstr>
      <vt:lpstr>_64h_F60</vt:lpstr>
      <vt:lpstr>_64h_F61</vt:lpstr>
      <vt:lpstr>_64h_F62</vt:lpstr>
      <vt:lpstr>_64h_F64</vt:lpstr>
      <vt:lpstr>_64h_F65</vt:lpstr>
      <vt:lpstr>_64h_F7</vt:lpstr>
      <vt:lpstr>_64h_F8</vt:lpstr>
      <vt:lpstr>_64h_F9</vt:lpstr>
      <vt:lpstr>_65h_E10</vt:lpstr>
      <vt:lpstr>_65h_E11</vt:lpstr>
      <vt:lpstr>_65h_E12</vt:lpstr>
      <vt:lpstr>_65h_E13</vt:lpstr>
      <vt:lpstr>_65h_E14</vt:lpstr>
      <vt:lpstr>_65h_E15</vt:lpstr>
      <vt:lpstr>_65h_E16</vt:lpstr>
      <vt:lpstr>_65h_E17</vt:lpstr>
      <vt:lpstr>_65h_E18</vt:lpstr>
      <vt:lpstr>_65h_E19</vt:lpstr>
      <vt:lpstr>_65h_E20</vt:lpstr>
      <vt:lpstr>_65h_E21</vt:lpstr>
      <vt:lpstr>_65h_E22</vt:lpstr>
      <vt:lpstr>_65h_E23</vt:lpstr>
      <vt:lpstr>_65h_E24</vt:lpstr>
      <vt:lpstr>_65h_E25</vt:lpstr>
      <vt:lpstr>_65h_E26</vt:lpstr>
      <vt:lpstr>_65h_E27</vt:lpstr>
      <vt:lpstr>_65h_E28</vt:lpstr>
      <vt:lpstr>_65h_E29</vt:lpstr>
      <vt:lpstr>_65h_E30</vt:lpstr>
      <vt:lpstr>_65h_E31</vt:lpstr>
      <vt:lpstr>_65h_E32</vt:lpstr>
      <vt:lpstr>_65h_E33</vt:lpstr>
      <vt:lpstr>_65h_E34</vt:lpstr>
      <vt:lpstr>_65h_E35</vt:lpstr>
      <vt:lpstr>_65h_E36</vt:lpstr>
      <vt:lpstr>_65h_E37</vt:lpstr>
      <vt:lpstr>_65h_E38</vt:lpstr>
      <vt:lpstr>_65h_E39</vt:lpstr>
      <vt:lpstr>_65h_E40</vt:lpstr>
      <vt:lpstr>_65h_E41</vt:lpstr>
      <vt:lpstr>_65h_E42</vt:lpstr>
      <vt:lpstr>_65h_E43</vt:lpstr>
      <vt:lpstr>_65h_E44</vt:lpstr>
      <vt:lpstr>_65h_E45</vt:lpstr>
      <vt:lpstr>_65h_E46</vt:lpstr>
      <vt:lpstr>_65h_E47</vt:lpstr>
      <vt:lpstr>_65h_E48</vt:lpstr>
      <vt:lpstr>_65h_E49</vt:lpstr>
      <vt:lpstr>_65h_E50</vt:lpstr>
      <vt:lpstr>_65h_E51</vt:lpstr>
      <vt:lpstr>_65h_E53</vt:lpstr>
      <vt:lpstr>_65h_E54</vt:lpstr>
      <vt:lpstr>_65h_E55</vt:lpstr>
      <vt:lpstr>_65h_E56</vt:lpstr>
      <vt:lpstr>_65h_E57</vt:lpstr>
      <vt:lpstr>_65h_E58</vt:lpstr>
      <vt:lpstr>_65h_E59</vt:lpstr>
      <vt:lpstr>_65h_E60</vt:lpstr>
      <vt:lpstr>_65h_E61</vt:lpstr>
      <vt:lpstr>_65h_E62</vt:lpstr>
      <vt:lpstr>_65h_E64</vt:lpstr>
      <vt:lpstr>_65h_E65</vt:lpstr>
      <vt:lpstr>_65h_E7</vt:lpstr>
      <vt:lpstr>_65h_E8</vt:lpstr>
      <vt:lpstr>_65h_E9</vt:lpstr>
      <vt:lpstr>_65h_F10</vt:lpstr>
      <vt:lpstr>_65h_F11</vt:lpstr>
      <vt:lpstr>_65h_F12</vt:lpstr>
      <vt:lpstr>_65h_F13</vt:lpstr>
      <vt:lpstr>_65h_F14</vt:lpstr>
      <vt:lpstr>_65h_F15</vt:lpstr>
      <vt:lpstr>_65h_F16</vt:lpstr>
      <vt:lpstr>_65h_F17</vt:lpstr>
      <vt:lpstr>_65h_F18</vt:lpstr>
      <vt:lpstr>_65h_F19</vt:lpstr>
      <vt:lpstr>_65h_F20</vt:lpstr>
      <vt:lpstr>_65h_F21</vt:lpstr>
      <vt:lpstr>_65h_F22</vt:lpstr>
      <vt:lpstr>_65h_F23</vt:lpstr>
      <vt:lpstr>_65h_F24</vt:lpstr>
      <vt:lpstr>_65h_F25</vt:lpstr>
      <vt:lpstr>_65h_F26</vt:lpstr>
      <vt:lpstr>_65h_F27</vt:lpstr>
      <vt:lpstr>_65h_F28</vt:lpstr>
      <vt:lpstr>_65h_F29</vt:lpstr>
      <vt:lpstr>_65h_F30</vt:lpstr>
      <vt:lpstr>_65h_F31</vt:lpstr>
      <vt:lpstr>_65h_F32</vt:lpstr>
      <vt:lpstr>_65h_F33</vt:lpstr>
      <vt:lpstr>_65h_F34</vt:lpstr>
      <vt:lpstr>_65h_F35</vt:lpstr>
      <vt:lpstr>_65h_F36</vt:lpstr>
      <vt:lpstr>_65h_F37</vt:lpstr>
      <vt:lpstr>_65h_F38</vt:lpstr>
      <vt:lpstr>_65h_F39</vt:lpstr>
      <vt:lpstr>_65h_F40</vt:lpstr>
      <vt:lpstr>_65h_F41</vt:lpstr>
      <vt:lpstr>_65h_F42</vt:lpstr>
      <vt:lpstr>_65h_F43</vt:lpstr>
      <vt:lpstr>_65h_F44</vt:lpstr>
      <vt:lpstr>_65h_F45</vt:lpstr>
      <vt:lpstr>_65h_F46</vt:lpstr>
      <vt:lpstr>_65h_F47</vt:lpstr>
      <vt:lpstr>_65h_F48</vt:lpstr>
      <vt:lpstr>_65h_F49</vt:lpstr>
      <vt:lpstr>_65h_F50</vt:lpstr>
      <vt:lpstr>_65h_F51</vt:lpstr>
      <vt:lpstr>_65h_F53</vt:lpstr>
      <vt:lpstr>_65h_F54</vt:lpstr>
      <vt:lpstr>_65h_F55</vt:lpstr>
      <vt:lpstr>_65h_F56</vt:lpstr>
      <vt:lpstr>_65h_F57</vt:lpstr>
      <vt:lpstr>_65h_F58</vt:lpstr>
      <vt:lpstr>_65h_F59</vt:lpstr>
      <vt:lpstr>_65h_F60</vt:lpstr>
      <vt:lpstr>_65h_F61</vt:lpstr>
      <vt:lpstr>_65h_F62</vt:lpstr>
      <vt:lpstr>_65h_F64</vt:lpstr>
      <vt:lpstr>_65h_F65</vt:lpstr>
      <vt:lpstr>_65h_F7</vt:lpstr>
      <vt:lpstr>_65h_F8</vt:lpstr>
      <vt:lpstr>_65h_F9</vt:lpstr>
      <vt:lpstr>_66h_E10</vt:lpstr>
      <vt:lpstr>_66h_E11</vt:lpstr>
      <vt:lpstr>_66h_E12</vt:lpstr>
      <vt:lpstr>_66h_E13</vt:lpstr>
      <vt:lpstr>_66h_E14</vt:lpstr>
      <vt:lpstr>_66h_E15</vt:lpstr>
      <vt:lpstr>_66h_E16</vt:lpstr>
      <vt:lpstr>_66h_E17</vt:lpstr>
      <vt:lpstr>_66h_E18</vt:lpstr>
      <vt:lpstr>_66h_E19</vt:lpstr>
      <vt:lpstr>_66h_E20</vt:lpstr>
      <vt:lpstr>_66h_E21</vt:lpstr>
      <vt:lpstr>_66h_E22</vt:lpstr>
      <vt:lpstr>_66h_E23</vt:lpstr>
      <vt:lpstr>_66h_E24</vt:lpstr>
      <vt:lpstr>_66h_E25</vt:lpstr>
      <vt:lpstr>_66h_E26</vt:lpstr>
      <vt:lpstr>_66h_E27</vt:lpstr>
      <vt:lpstr>_66h_E28</vt:lpstr>
      <vt:lpstr>_66h_E29</vt:lpstr>
      <vt:lpstr>_66h_E30</vt:lpstr>
      <vt:lpstr>_66h_E31</vt:lpstr>
      <vt:lpstr>_66h_E32</vt:lpstr>
      <vt:lpstr>_66h_E33</vt:lpstr>
      <vt:lpstr>_66h_E34</vt:lpstr>
      <vt:lpstr>_66h_E35</vt:lpstr>
      <vt:lpstr>_66h_E36</vt:lpstr>
      <vt:lpstr>_66h_E37</vt:lpstr>
      <vt:lpstr>_66h_E38</vt:lpstr>
      <vt:lpstr>_66h_E39</vt:lpstr>
      <vt:lpstr>_66h_E40</vt:lpstr>
      <vt:lpstr>_66h_E41</vt:lpstr>
      <vt:lpstr>_66h_E42</vt:lpstr>
      <vt:lpstr>_66h_E43</vt:lpstr>
      <vt:lpstr>_66h_E44</vt:lpstr>
      <vt:lpstr>_66h_E45</vt:lpstr>
      <vt:lpstr>_66h_E46</vt:lpstr>
      <vt:lpstr>_66h_E47</vt:lpstr>
      <vt:lpstr>_66h_E48</vt:lpstr>
      <vt:lpstr>_66h_E49</vt:lpstr>
      <vt:lpstr>_66h_E50</vt:lpstr>
      <vt:lpstr>_66h_E51</vt:lpstr>
      <vt:lpstr>_66h_E53</vt:lpstr>
      <vt:lpstr>_66h_E54</vt:lpstr>
      <vt:lpstr>_66h_E55</vt:lpstr>
      <vt:lpstr>_66h_E56</vt:lpstr>
      <vt:lpstr>_66h_E57</vt:lpstr>
      <vt:lpstr>_66h_E58</vt:lpstr>
      <vt:lpstr>_66h_E59</vt:lpstr>
      <vt:lpstr>_66h_E60</vt:lpstr>
      <vt:lpstr>_66h_E61</vt:lpstr>
      <vt:lpstr>_66h_E62</vt:lpstr>
      <vt:lpstr>_66h_E64</vt:lpstr>
      <vt:lpstr>_66h_E65</vt:lpstr>
      <vt:lpstr>_66h_E7</vt:lpstr>
      <vt:lpstr>_66h_E8</vt:lpstr>
      <vt:lpstr>_66h_E9</vt:lpstr>
      <vt:lpstr>_66h_F10</vt:lpstr>
      <vt:lpstr>_66h_F11</vt:lpstr>
      <vt:lpstr>_66h_F12</vt:lpstr>
      <vt:lpstr>_66h_F13</vt:lpstr>
      <vt:lpstr>_66h_F14</vt:lpstr>
      <vt:lpstr>_66h_F15</vt:lpstr>
      <vt:lpstr>_66h_F16</vt:lpstr>
      <vt:lpstr>_66h_F17</vt:lpstr>
      <vt:lpstr>_66h_F18</vt:lpstr>
      <vt:lpstr>_66h_F19</vt:lpstr>
      <vt:lpstr>_66h_F20</vt:lpstr>
      <vt:lpstr>_66h_F21</vt:lpstr>
      <vt:lpstr>_66h_F22</vt:lpstr>
      <vt:lpstr>_66h_F23</vt:lpstr>
      <vt:lpstr>_66h_F24</vt:lpstr>
      <vt:lpstr>_66h_F25</vt:lpstr>
      <vt:lpstr>_66h_F26</vt:lpstr>
      <vt:lpstr>_66h_F27</vt:lpstr>
      <vt:lpstr>_66h_F28</vt:lpstr>
      <vt:lpstr>_66h_F29</vt:lpstr>
      <vt:lpstr>_66h_F30</vt:lpstr>
      <vt:lpstr>_66h_F31</vt:lpstr>
      <vt:lpstr>_66h_F32</vt:lpstr>
      <vt:lpstr>_66h_F33</vt:lpstr>
      <vt:lpstr>_66h_F34</vt:lpstr>
      <vt:lpstr>_66h_F35</vt:lpstr>
      <vt:lpstr>_66h_F36</vt:lpstr>
      <vt:lpstr>_66h_F37</vt:lpstr>
      <vt:lpstr>_66h_F38</vt:lpstr>
      <vt:lpstr>_66h_F39</vt:lpstr>
      <vt:lpstr>_66h_F40</vt:lpstr>
      <vt:lpstr>_66h_F41</vt:lpstr>
      <vt:lpstr>_66h_F42</vt:lpstr>
      <vt:lpstr>_66h_F43</vt:lpstr>
      <vt:lpstr>_66h_F44</vt:lpstr>
      <vt:lpstr>_66h_F45</vt:lpstr>
      <vt:lpstr>_66h_F46</vt:lpstr>
      <vt:lpstr>_66h_F47</vt:lpstr>
      <vt:lpstr>_66h_F48</vt:lpstr>
      <vt:lpstr>_66h_F49</vt:lpstr>
      <vt:lpstr>_66h_F50</vt:lpstr>
      <vt:lpstr>_66h_F51</vt:lpstr>
      <vt:lpstr>_66h_F53</vt:lpstr>
      <vt:lpstr>_66h_F54</vt:lpstr>
      <vt:lpstr>_66h_F55</vt:lpstr>
      <vt:lpstr>_66h_F56</vt:lpstr>
      <vt:lpstr>_66h_F57</vt:lpstr>
      <vt:lpstr>_66h_F58</vt:lpstr>
      <vt:lpstr>_66h_F59</vt:lpstr>
      <vt:lpstr>_66h_F60</vt:lpstr>
      <vt:lpstr>_66h_F61</vt:lpstr>
      <vt:lpstr>_66h_F62</vt:lpstr>
      <vt:lpstr>_66h_F64</vt:lpstr>
      <vt:lpstr>_66h_F65</vt:lpstr>
      <vt:lpstr>_66h_F7</vt:lpstr>
      <vt:lpstr>_66h_F8</vt:lpstr>
      <vt:lpstr>_66h_F9</vt:lpstr>
      <vt:lpstr>_67h_E10</vt:lpstr>
      <vt:lpstr>_67h_E11</vt:lpstr>
      <vt:lpstr>_67h_E12</vt:lpstr>
      <vt:lpstr>_67h_E13</vt:lpstr>
      <vt:lpstr>_67h_E14</vt:lpstr>
      <vt:lpstr>_67h_E15</vt:lpstr>
      <vt:lpstr>_67h_E16</vt:lpstr>
      <vt:lpstr>_67h_E17</vt:lpstr>
      <vt:lpstr>_67h_E18</vt:lpstr>
      <vt:lpstr>_67h_E19</vt:lpstr>
      <vt:lpstr>_67h_E20</vt:lpstr>
      <vt:lpstr>_67h_E21</vt:lpstr>
      <vt:lpstr>_67h_E22</vt:lpstr>
      <vt:lpstr>_67h_E23</vt:lpstr>
      <vt:lpstr>_67h_E24</vt:lpstr>
      <vt:lpstr>_67h_E25</vt:lpstr>
      <vt:lpstr>_67h_E26</vt:lpstr>
      <vt:lpstr>_67h_E27</vt:lpstr>
      <vt:lpstr>_67h_E28</vt:lpstr>
      <vt:lpstr>_67h_E29</vt:lpstr>
      <vt:lpstr>_67h_E30</vt:lpstr>
      <vt:lpstr>_67h_E31</vt:lpstr>
      <vt:lpstr>_67h_E32</vt:lpstr>
      <vt:lpstr>_67h_E33</vt:lpstr>
      <vt:lpstr>_67h_E34</vt:lpstr>
      <vt:lpstr>_67h_E35</vt:lpstr>
      <vt:lpstr>_67h_E36</vt:lpstr>
      <vt:lpstr>_67h_E37</vt:lpstr>
      <vt:lpstr>_67h_E38</vt:lpstr>
      <vt:lpstr>_67h_E39</vt:lpstr>
      <vt:lpstr>_67h_E40</vt:lpstr>
      <vt:lpstr>_67h_E41</vt:lpstr>
      <vt:lpstr>_67h_E42</vt:lpstr>
      <vt:lpstr>_67h_E43</vt:lpstr>
      <vt:lpstr>_67h_E44</vt:lpstr>
      <vt:lpstr>_67h_E45</vt:lpstr>
      <vt:lpstr>_67h_E46</vt:lpstr>
      <vt:lpstr>_67h_E47</vt:lpstr>
      <vt:lpstr>_67h_E48</vt:lpstr>
      <vt:lpstr>_67h_E49</vt:lpstr>
      <vt:lpstr>_67h_E50</vt:lpstr>
      <vt:lpstr>_67h_E51</vt:lpstr>
      <vt:lpstr>_67h_E53</vt:lpstr>
      <vt:lpstr>_67h_E54</vt:lpstr>
      <vt:lpstr>_67h_E55</vt:lpstr>
      <vt:lpstr>_67h_E56</vt:lpstr>
      <vt:lpstr>_67h_E57</vt:lpstr>
      <vt:lpstr>_67h_E58</vt:lpstr>
      <vt:lpstr>_67h_E59</vt:lpstr>
      <vt:lpstr>_67h_E60</vt:lpstr>
      <vt:lpstr>_67h_E61</vt:lpstr>
      <vt:lpstr>_67h_E62</vt:lpstr>
      <vt:lpstr>_67h_E64</vt:lpstr>
      <vt:lpstr>_67h_E65</vt:lpstr>
      <vt:lpstr>_67h_E7</vt:lpstr>
      <vt:lpstr>_67h_E8</vt:lpstr>
      <vt:lpstr>_67h_E9</vt:lpstr>
      <vt:lpstr>_67h_F10</vt:lpstr>
      <vt:lpstr>_67h_F11</vt:lpstr>
      <vt:lpstr>_67h_F12</vt:lpstr>
      <vt:lpstr>_67h_F13</vt:lpstr>
      <vt:lpstr>_67h_F14</vt:lpstr>
      <vt:lpstr>_67h_F15</vt:lpstr>
      <vt:lpstr>_67h_F16</vt:lpstr>
      <vt:lpstr>_67h_F17</vt:lpstr>
      <vt:lpstr>_67h_F18</vt:lpstr>
      <vt:lpstr>_67h_F19</vt:lpstr>
      <vt:lpstr>_67h_F20</vt:lpstr>
      <vt:lpstr>_67h_F21</vt:lpstr>
      <vt:lpstr>_67h_F22</vt:lpstr>
      <vt:lpstr>_67h_F23</vt:lpstr>
      <vt:lpstr>_67h_F24</vt:lpstr>
      <vt:lpstr>_67h_F25</vt:lpstr>
      <vt:lpstr>_67h_F26</vt:lpstr>
      <vt:lpstr>_67h_F27</vt:lpstr>
      <vt:lpstr>_67h_F28</vt:lpstr>
      <vt:lpstr>_67h_F29</vt:lpstr>
      <vt:lpstr>_67h_F30</vt:lpstr>
      <vt:lpstr>_67h_F31</vt:lpstr>
      <vt:lpstr>_67h_F32</vt:lpstr>
      <vt:lpstr>_67h_F33</vt:lpstr>
      <vt:lpstr>_67h_F34</vt:lpstr>
      <vt:lpstr>_67h_F35</vt:lpstr>
      <vt:lpstr>_67h_F36</vt:lpstr>
      <vt:lpstr>_67h_F37</vt:lpstr>
      <vt:lpstr>_67h_F38</vt:lpstr>
      <vt:lpstr>_67h_F39</vt:lpstr>
      <vt:lpstr>_67h_F40</vt:lpstr>
      <vt:lpstr>_67h_F41</vt:lpstr>
      <vt:lpstr>_67h_F42</vt:lpstr>
      <vt:lpstr>_67h_F43</vt:lpstr>
      <vt:lpstr>_67h_F44</vt:lpstr>
      <vt:lpstr>_67h_F45</vt:lpstr>
      <vt:lpstr>_67h_F46</vt:lpstr>
      <vt:lpstr>_67h_F47</vt:lpstr>
      <vt:lpstr>_67h_F48</vt:lpstr>
      <vt:lpstr>_67h_F49</vt:lpstr>
      <vt:lpstr>_67h_F50</vt:lpstr>
      <vt:lpstr>_67h_F51</vt:lpstr>
      <vt:lpstr>_67h_F53</vt:lpstr>
      <vt:lpstr>_67h_F54</vt:lpstr>
      <vt:lpstr>_67h_F55</vt:lpstr>
      <vt:lpstr>_67h_F56</vt:lpstr>
      <vt:lpstr>_67h_F57</vt:lpstr>
      <vt:lpstr>_67h_F58</vt:lpstr>
      <vt:lpstr>_67h_F59</vt:lpstr>
      <vt:lpstr>_67h_F60</vt:lpstr>
      <vt:lpstr>_67h_F61</vt:lpstr>
      <vt:lpstr>_67h_F62</vt:lpstr>
      <vt:lpstr>_67h_F64</vt:lpstr>
      <vt:lpstr>_67h_F65</vt:lpstr>
      <vt:lpstr>_67h_F7</vt:lpstr>
      <vt:lpstr>_67h_F8</vt:lpstr>
      <vt:lpstr>_67h_F9</vt:lpstr>
      <vt:lpstr>_68h_E10</vt:lpstr>
      <vt:lpstr>_68h_E11</vt:lpstr>
      <vt:lpstr>_68h_E12</vt:lpstr>
      <vt:lpstr>_68h_E13</vt:lpstr>
      <vt:lpstr>_68h_E14</vt:lpstr>
      <vt:lpstr>_68h_E15</vt:lpstr>
      <vt:lpstr>_68h_E16</vt:lpstr>
      <vt:lpstr>_68h_E17</vt:lpstr>
      <vt:lpstr>_68h_E18</vt:lpstr>
      <vt:lpstr>_68h_E19</vt:lpstr>
      <vt:lpstr>_68h_E20</vt:lpstr>
      <vt:lpstr>_68h_E21</vt:lpstr>
      <vt:lpstr>_68h_E22</vt:lpstr>
      <vt:lpstr>_68h_E23</vt:lpstr>
      <vt:lpstr>_68h_E24</vt:lpstr>
      <vt:lpstr>_68h_E25</vt:lpstr>
      <vt:lpstr>_68h_E26</vt:lpstr>
      <vt:lpstr>_68h_E27</vt:lpstr>
      <vt:lpstr>_68h_E28</vt:lpstr>
      <vt:lpstr>_68h_E29</vt:lpstr>
      <vt:lpstr>_68h_E30</vt:lpstr>
      <vt:lpstr>_68h_E31</vt:lpstr>
      <vt:lpstr>_68h_E32</vt:lpstr>
      <vt:lpstr>_68h_E33</vt:lpstr>
      <vt:lpstr>_68h_E34</vt:lpstr>
      <vt:lpstr>_68h_E35</vt:lpstr>
      <vt:lpstr>_68h_E36</vt:lpstr>
      <vt:lpstr>_68h_E37</vt:lpstr>
      <vt:lpstr>_68h_E38</vt:lpstr>
      <vt:lpstr>_68h_E39</vt:lpstr>
      <vt:lpstr>_68h_E40</vt:lpstr>
      <vt:lpstr>_68h_E41</vt:lpstr>
      <vt:lpstr>_68h_E42</vt:lpstr>
      <vt:lpstr>_68h_E43</vt:lpstr>
      <vt:lpstr>_68h_E44</vt:lpstr>
      <vt:lpstr>_68h_E45</vt:lpstr>
      <vt:lpstr>_68h_E46</vt:lpstr>
      <vt:lpstr>_68h_E47</vt:lpstr>
      <vt:lpstr>_68h_E48</vt:lpstr>
      <vt:lpstr>_68h_E49</vt:lpstr>
      <vt:lpstr>_68h_E50</vt:lpstr>
      <vt:lpstr>_68h_E51</vt:lpstr>
      <vt:lpstr>_68h_E53</vt:lpstr>
      <vt:lpstr>_68h_E54</vt:lpstr>
      <vt:lpstr>_68h_E55</vt:lpstr>
      <vt:lpstr>_68h_E56</vt:lpstr>
      <vt:lpstr>_68h_E57</vt:lpstr>
      <vt:lpstr>_68h_E58</vt:lpstr>
      <vt:lpstr>_68h_E59</vt:lpstr>
      <vt:lpstr>_68h_E60</vt:lpstr>
      <vt:lpstr>_68h_E61</vt:lpstr>
      <vt:lpstr>_68h_E62</vt:lpstr>
      <vt:lpstr>_68h_E64</vt:lpstr>
      <vt:lpstr>_68h_E65</vt:lpstr>
      <vt:lpstr>_68h_E7</vt:lpstr>
      <vt:lpstr>_68h_E8</vt:lpstr>
      <vt:lpstr>_68h_E9</vt:lpstr>
      <vt:lpstr>_68h_F10</vt:lpstr>
      <vt:lpstr>_68h_F11</vt:lpstr>
      <vt:lpstr>_68h_F12</vt:lpstr>
      <vt:lpstr>_68h_F13</vt:lpstr>
      <vt:lpstr>_68h_F14</vt:lpstr>
      <vt:lpstr>_68h_F15</vt:lpstr>
      <vt:lpstr>_68h_F16</vt:lpstr>
      <vt:lpstr>_68h_F17</vt:lpstr>
      <vt:lpstr>_68h_F18</vt:lpstr>
      <vt:lpstr>_68h_F19</vt:lpstr>
      <vt:lpstr>_68h_F20</vt:lpstr>
      <vt:lpstr>_68h_F21</vt:lpstr>
      <vt:lpstr>_68h_F22</vt:lpstr>
      <vt:lpstr>_68h_F23</vt:lpstr>
      <vt:lpstr>_68h_F24</vt:lpstr>
      <vt:lpstr>_68h_F25</vt:lpstr>
      <vt:lpstr>_68h_F26</vt:lpstr>
      <vt:lpstr>_68h_F27</vt:lpstr>
      <vt:lpstr>_68h_F28</vt:lpstr>
      <vt:lpstr>_68h_F29</vt:lpstr>
      <vt:lpstr>_68h_F30</vt:lpstr>
      <vt:lpstr>_68h_F31</vt:lpstr>
      <vt:lpstr>_68h_F32</vt:lpstr>
      <vt:lpstr>_68h_F33</vt:lpstr>
      <vt:lpstr>_68h_F34</vt:lpstr>
      <vt:lpstr>_68h_F35</vt:lpstr>
      <vt:lpstr>_68h_F36</vt:lpstr>
      <vt:lpstr>_68h_F37</vt:lpstr>
      <vt:lpstr>_68h_F38</vt:lpstr>
      <vt:lpstr>_68h_F39</vt:lpstr>
      <vt:lpstr>_68h_F40</vt:lpstr>
      <vt:lpstr>_68h_F41</vt:lpstr>
      <vt:lpstr>_68h_F42</vt:lpstr>
      <vt:lpstr>_68h_F43</vt:lpstr>
      <vt:lpstr>_68h_F44</vt:lpstr>
      <vt:lpstr>_68h_F45</vt:lpstr>
      <vt:lpstr>_68h_F46</vt:lpstr>
      <vt:lpstr>_68h_F47</vt:lpstr>
      <vt:lpstr>_68h_F48</vt:lpstr>
      <vt:lpstr>_68h_F49</vt:lpstr>
      <vt:lpstr>_68h_F50</vt:lpstr>
      <vt:lpstr>_68h_F51</vt:lpstr>
      <vt:lpstr>_68h_F53</vt:lpstr>
      <vt:lpstr>_68h_F54</vt:lpstr>
      <vt:lpstr>_68h_F55</vt:lpstr>
      <vt:lpstr>_68h_F56</vt:lpstr>
      <vt:lpstr>_68h_F57</vt:lpstr>
      <vt:lpstr>_68h_F58</vt:lpstr>
      <vt:lpstr>_68h_F59</vt:lpstr>
      <vt:lpstr>_68h_F60</vt:lpstr>
      <vt:lpstr>_68h_F61</vt:lpstr>
      <vt:lpstr>_68h_F62</vt:lpstr>
      <vt:lpstr>_68h_F64</vt:lpstr>
      <vt:lpstr>_68h_F65</vt:lpstr>
      <vt:lpstr>_68h_F7</vt:lpstr>
      <vt:lpstr>_68h_F8</vt:lpstr>
      <vt:lpstr>_68h_F9</vt:lpstr>
      <vt:lpstr>_69h_E10</vt:lpstr>
      <vt:lpstr>_69h_E11</vt:lpstr>
      <vt:lpstr>_69h_E12</vt:lpstr>
      <vt:lpstr>_69h_E13</vt:lpstr>
      <vt:lpstr>_69h_E14</vt:lpstr>
      <vt:lpstr>_69h_E15</vt:lpstr>
      <vt:lpstr>_69h_E16</vt:lpstr>
      <vt:lpstr>_69h_E17</vt:lpstr>
      <vt:lpstr>_69h_E18</vt:lpstr>
      <vt:lpstr>_69h_E19</vt:lpstr>
      <vt:lpstr>_69h_E20</vt:lpstr>
      <vt:lpstr>_69h_E21</vt:lpstr>
      <vt:lpstr>_69h_E22</vt:lpstr>
      <vt:lpstr>_69h_E23</vt:lpstr>
      <vt:lpstr>_69h_E24</vt:lpstr>
      <vt:lpstr>_69h_E25</vt:lpstr>
      <vt:lpstr>_69h_E26</vt:lpstr>
      <vt:lpstr>_69h_E27</vt:lpstr>
      <vt:lpstr>_69h_E28</vt:lpstr>
      <vt:lpstr>_69h_E29</vt:lpstr>
      <vt:lpstr>_69h_E30</vt:lpstr>
      <vt:lpstr>_69h_E31</vt:lpstr>
      <vt:lpstr>_69h_E32</vt:lpstr>
      <vt:lpstr>_69h_E33</vt:lpstr>
      <vt:lpstr>_69h_E34</vt:lpstr>
      <vt:lpstr>_69h_E35</vt:lpstr>
      <vt:lpstr>_69h_E36</vt:lpstr>
      <vt:lpstr>_69h_E37</vt:lpstr>
      <vt:lpstr>_69h_E38</vt:lpstr>
      <vt:lpstr>_69h_E39</vt:lpstr>
      <vt:lpstr>_69h_E40</vt:lpstr>
      <vt:lpstr>_69h_E41</vt:lpstr>
      <vt:lpstr>_69h_E42</vt:lpstr>
      <vt:lpstr>_69h_E43</vt:lpstr>
      <vt:lpstr>_69h_E44</vt:lpstr>
      <vt:lpstr>_69h_E45</vt:lpstr>
      <vt:lpstr>_69h_E46</vt:lpstr>
      <vt:lpstr>_69h_E47</vt:lpstr>
      <vt:lpstr>_69h_E48</vt:lpstr>
      <vt:lpstr>_69h_E49</vt:lpstr>
      <vt:lpstr>_69h_E50</vt:lpstr>
      <vt:lpstr>_69h_E51</vt:lpstr>
      <vt:lpstr>_69h_E53</vt:lpstr>
      <vt:lpstr>_69h_E54</vt:lpstr>
      <vt:lpstr>_69h_E55</vt:lpstr>
      <vt:lpstr>_69h_E56</vt:lpstr>
      <vt:lpstr>_69h_E57</vt:lpstr>
      <vt:lpstr>_69h_E58</vt:lpstr>
      <vt:lpstr>_69h_E59</vt:lpstr>
      <vt:lpstr>_69h_E60</vt:lpstr>
      <vt:lpstr>_69h_E61</vt:lpstr>
      <vt:lpstr>_69h_E62</vt:lpstr>
      <vt:lpstr>_69h_E64</vt:lpstr>
      <vt:lpstr>_69h_E65</vt:lpstr>
      <vt:lpstr>_69h_E7</vt:lpstr>
      <vt:lpstr>_69h_E8</vt:lpstr>
      <vt:lpstr>_69h_E9</vt:lpstr>
      <vt:lpstr>_69h_F10</vt:lpstr>
      <vt:lpstr>_69h_F11</vt:lpstr>
      <vt:lpstr>_69h_F12</vt:lpstr>
      <vt:lpstr>_69h_F13</vt:lpstr>
      <vt:lpstr>_69h_F14</vt:lpstr>
      <vt:lpstr>_69h_F15</vt:lpstr>
      <vt:lpstr>_69h_F16</vt:lpstr>
      <vt:lpstr>_69h_F17</vt:lpstr>
      <vt:lpstr>_69h_F18</vt:lpstr>
      <vt:lpstr>_69h_F19</vt:lpstr>
      <vt:lpstr>_69h_F20</vt:lpstr>
      <vt:lpstr>_69h_F21</vt:lpstr>
      <vt:lpstr>_69h_F22</vt:lpstr>
      <vt:lpstr>_69h_F23</vt:lpstr>
      <vt:lpstr>_69h_F24</vt:lpstr>
      <vt:lpstr>_69h_F25</vt:lpstr>
      <vt:lpstr>_69h_F26</vt:lpstr>
      <vt:lpstr>_69h_F27</vt:lpstr>
      <vt:lpstr>_69h_F28</vt:lpstr>
      <vt:lpstr>_69h_F29</vt:lpstr>
      <vt:lpstr>_69h_F30</vt:lpstr>
      <vt:lpstr>_69h_F31</vt:lpstr>
      <vt:lpstr>_69h_F32</vt:lpstr>
      <vt:lpstr>_69h_F33</vt:lpstr>
      <vt:lpstr>_69h_F34</vt:lpstr>
      <vt:lpstr>_69h_F35</vt:lpstr>
      <vt:lpstr>_69h_F36</vt:lpstr>
      <vt:lpstr>_69h_F37</vt:lpstr>
      <vt:lpstr>_69h_F38</vt:lpstr>
      <vt:lpstr>_69h_F39</vt:lpstr>
      <vt:lpstr>_69h_F40</vt:lpstr>
      <vt:lpstr>_69h_F41</vt:lpstr>
      <vt:lpstr>_69h_F42</vt:lpstr>
      <vt:lpstr>_69h_F43</vt:lpstr>
      <vt:lpstr>_69h_F44</vt:lpstr>
      <vt:lpstr>_69h_F45</vt:lpstr>
      <vt:lpstr>_69h_F46</vt:lpstr>
      <vt:lpstr>_69h_F47</vt:lpstr>
      <vt:lpstr>_69h_F48</vt:lpstr>
      <vt:lpstr>_69h_F49</vt:lpstr>
      <vt:lpstr>_69h_F50</vt:lpstr>
      <vt:lpstr>_69h_F51</vt:lpstr>
      <vt:lpstr>_69h_F53</vt:lpstr>
      <vt:lpstr>_69h_F54</vt:lpstr>
      <vt:lpstr>_69h_F55</vt:lpstr>
      <vt:lpstr>_69h_F56</vt:lpstr>
      <vt:lpstr>_69h_F57</vt:lpstr>
      <vt:lpstr>_69h_F58</vt:lpstr>
      <vt:lpstr>_69h_F59</vt:lpstr>
      <vt:lpstr>_69h_F60</vt:lpstr>
      <vt:lpstr>_69h_F61</vt:lpstr>
      <vt:lpstr>_69h_F62</vt:lpstr>
      <vt:lpstr>_69h_F64</vt:lpstr>
      <vt:lpstr>_69h_F65</vt:lpstr>
      <vt:lpstr>_69h_F7</vt:lpstr>
      <vt:lpstr>_69h_F8</vt:lpstr>
      <vt:lpstr>_69h_F9</vt:lpstr>
      <vt:lpstr>_6h_E10</vt:lpstr>
      <vt:lpstr>_6h_E11</vt:lpstr>
      <vt:lpstr>_6h_E12</vt:lpstr>
      <vt:lpstr>_6h_E13</vt:lpstr>
      <vt:lpstr>_6h_E14</vt:lpstr>
      <vt:lpstr>_6h_E15</vt:lpstr>
      <vt:lpstr>_6h_E16</vt:lpstr>
      <vt:lpstr>_6h_E17</vt:lpstr>
      <vt:lpstr>_6h_E18</vt:lpstr>
      <vt:lpstr>_6h_E19</vt:lpstr>
      <vt:lpstr>_6h_E20</vt:lpstr>
      <vt:lpstr>_6h_E21</vt:lpstr>
      <vt:lpstr>_6h_E22</vt:lpstr>
      <vt:lpstr>_6h_E23</vt:lpstr>
      <vt:lpstr>_6h_E24</vt:lpstr>
      <vt:lpstr>_6h_E25</vt:lpstr>
      <vt:lpstr>_6h_E26</vt:lpstr>
      <vt:lpstr>_6h_E27</vt:lpstr>
      <vt:lpstr>_6h_E28</vt:lpstr>
      <vt:lpstr>_6h_E29</vt:lpstr>
      <vt:lpstr>_6h_E30</vt:lpstr>
      <vt:lpstr>_6h_E31</vt:lpstr>
      <vt:lpstr>_6h_E32</vt:lpstr>
      <vt:lpstr>_6h_E33</vt:lpstr>
      <vt:lpstr>_6h_E34</vt:lpstr>
      <vt:lpstr>_6h_E35</vt:lpstr>
      <vt:lpstr>_6h_E36</vt:lpstr>
      <vt:lpstr>_6h_E37</vt:lpstr>
      <vt:lpstr>_6h_E38</vt:lpstr>
      <vt:lpstr>_6h_E39</vt:lpstr>
      <vt:lpstr>_6h_E40</vt:lpstr>
      <vt:lpstr>_6h_E41</vt:lpstr>
      <vt:lpstr>_6h_E42</vt:lpstr>
      <vt:lpstr>_6h_E43</vt:lpstr>
      <vt:lpstr>_6h_E44</vt:lpstr>
      <vt:lpstr>_6h_E45</vt:lpstr>
      <vt:lpstr>_6h_E46</vt:lpstr>
      <vt:lpstr>_6h_E47</vt:lpstr>
      <vt:lpstr>_6h_E48</vt:lpstr>
      <vt:lpstr>_6h_E49</vt:lpstr>
      <vt:lpstr>_6h_E50</vt:lpstr>
      <vt:lpstr>_6h_E51</vt:lpstr>
      <vt:lpstr>_6h_E53</vt:lpstr>
      <vt:lpstr>_6h_E54</vt:lpstr>
      <vt:lpstr>_6h_E55</vt:lpstr>
      <vt:lpstr>_6h_E56</vt:lpstr>
      <vt:lpstr>_6h_E57</vt:lpstr>
      <vt:lpstr>_6h_E58</vt:lpstr>
      <vt:lpstr>_6h_E59</vt:lpstr>
      <vt:lpstr>_6h_E60</vt:lpstr>
      <vt:lpstr>_6h_E61</vt:lpstr>
      <vt:lpstr>_6h_E62</vt:lpstr>
      <vt:lpstr>_6h_E64</vt:lpstr>
      <vt:lpstr>_6h_E65</vt:lpstr>
      <vt:lpstr>_6h_E7</vt:lpstr>
      <vt:lpstr>_6h_E8</vt:lpstr>
      <vt:lpstr>_6h_E9</vt:lpstr>
      <vt:lpstr>_6h_F10</vt:lpstr>
      <vt:lpstr>_6h_F11</vt:lpstr>
      <vt:lpstr>_6h_F12</vt:lpstr>
      <vt:lpstr>_6h_F13</vt:lpstr>
      <vt:lpstr>_6h_F14</vt:lpstr>
      <vt:lpstr>_6h_F15</vt:lpstr>
      <vt:lpstr>_6h_F16</vt:lpstr>
      <vt:lpstr>_6h_F17</vt:lpstr>
      <vt:lpstr>_6h_F18</vt:lpstr>
      <vt:lpstr>_6h_F19</vt:lpstr>
      <vt:lpstr>_6h_F20</vt:lpstr>
      <vt:lpstr>_6h_F21</vt:lpstr>
      <vt:lpstr>_6h_F22</vt:lpstr>
      <vt:lpstr>_6h_F23</vt:lpstr>
      <vt:lpstr>_6h_F24</vt:lpstr>
      <vt:lpstr>_6h_F25</vt:lpstr>
      <vt:lpstr>_6h_F26</vt:lpstr>
      <vt:lpstr>_6h_F27</vt:lpstr>
      <vt:lpstr>_6h_F28</vt:lpstr>
      <vt:lpstr>_6h_F29</vt:lpstr>
      <vt:lpstr>_6h_F30</vt:lpstr>
      <vt:lpstr>_6h_F31</vt:lpstr>
      <vt:lpstr>_6h_F32</vt:lpstr>
      <vt:lpstr>_6h_F33</vt:lpstr>
      <vt:lpstr>_6h_F34</vt:lpstr>
      <vt:lpstr>_6h_F35</vt:lpstr>
      <vt:lpstr>_6h_F36</vt:lpstr>
      <vt:lpstr>_6h_F37</vt:lpstr>
      <vt:lpstr>_6h_F38</vt:lpstr>
      <vt:lpstr>_6h_F39</vt:lpstr>
      <vt:lpstr>_6h_F40</vt:lpstr>
      <vt:lpstr>_6h_F41</vt:lpstr>
      <vt:lpstr>_6h_F42</vt:lpstr>
      <vt:lpstr>_6h_F43</vt:lpstr>
      <vt:lpstr>_6h_F44</vt:lpstr>
      <vt:lpstr>_6h_F45</vt:lpstr>
      <vt:lpstr>_6h_F46</vt:lpstr>
      <vt:lpstr>_6h_F47</vt:lpstr>
      <vt:lpstr>_6h_F48</vt:lpstr>
      <vt:lpstr>_6h_F49</vt:lpstr>
      <vt:lpstr>_6h_F50</vt:lpstr>
      <vt:lpstr>_6h_F51</vt:lpstr>
      <vt:lpstr>_6h_F53</vt:lpstr>
      <vt:lpstr>_6h_F54</vt:lpstr>
      <vt:lpstr>_6h_F55</vt:lpstr>
      <vt:lpstr>_6h_F56</vt:lpstr>
      <vt:lpstr>_6h_F57</vt:lpstr>
      <vt:lpstr>_6h_F58</vt:lpstr>
      <vt:lpstr>_6h_F59</vt:lpstr>
      <vt:lpstr>_6h_F60</vt:lpstr>
      <vt:lpstr>_6h_F61</vt:lpstr>
      <vt:lpstr>_6h_F62</vt:lpstr>
      <vt:lpstr>_6h_F64</vt:lpstr>
      <vt:lpstr>_6h_F65</vt:lpstr>
      <vt:lpstr>_6h_F7</vt:lpstr>
      <vt:lpstr>_6h_F8</vt:lpstr>
      <vt:lpstr>_6h_F9</vt:lpstr>
      <vt:lpstr>_70h_E10</vt:lpstr>
      <vt:lpstr>_70h_E11</vt:lpstr>
      <vt:lpstr>_70h_E12</vt:lpstr>
      <vt:lpstr>_70h_E13</vt:lpstr>
      <vt:lpstr>_70h_E14</vt:lpstr>
      <vt:lpstr>_70h_E15</vt:lpstr>
      <vt:lpstr>_70h_E16</vt:lpstr>
      <vt:lpstr>_70h_E17</vt:lpstr>
      <vt:lpstr>_70h_E18</vt:lpstr>
      <vt:lpstr>_70h_E19</vt:lpstr>
      <vt:lpstr>_70h_E20</vt:lpstr>
      <vt:lpstr>_70h_E21</vt:lpstr>
      <vt:lpstr>_70h_E22</vt:lpstr>
      <vt:lpstr>_70h_E23</vt:lpstr>
      <vt:lpstr>_70h_E24</vt:lpstr>
      <vt:lpstr>_70h_E25</vt:lpstr>
      <vt:lpstr>_70h_E26</vt:lpstr>
      <vt:lpstr>_70h_E27</vt:lpstr>
      <vt:lpstr>_70h_E28</vt:lpstr>
      <vt:lpstr>_70h_E29</vt:lpstr>
      <vt:lpstr>_70h_E30</vt:lpstr>
      <vt:lpstr>_70h_E31</vt:lpstr>
      <vt:lpstr>_70h_E32</vt:lpstr>
      <vt:lpstr>_70h_E33</vt:lpstr>
      <vt:lpstr>_70h_E34</vt:lpstr>
      <vt:lpstr>_70h_E35</vt:lpstr>
      <vt:lpstr>_70h_E36</vt:lpstr>
      <vt:lpstr>_70h_E37</vt:lpstr>
      <vt:lpstr>_70h_E38</vt:lpstr>
      <vt:lpstr>_70h_E39</vt:lpstr>
      <vt:lpstr>_70h_E40</vt:lpstr>
      <vt:lpstr>_70h_E41</vt:lpstr>
      <vt:lpstr>_70h_E42</vt:lpstr>
      <vt:lpstr>_70h_E43</vt:lpstr>
      <vt:lpstr>_70h_E44</vt:lpstr>
      <vt:lpstr>_70h_E45</vt:lpstr>
      <vt:lpstr>_70h_E46</vt:lpstr>
      <vt:lpstr>_70h_E47</vt:lpstr>
      <vt:lpstr>_70h_E48</vt:lpstr>
      <vt:lpstr>_70h_E49</vt:lpstr>
      <vt:lpstr>_70h_E50</vt:lpstr>
      <vt:lpstr>_70h_E51</vt:lpstr>
      <vt:lpstr>_70h_E53</vt:lpstr>
      <vt:lpstr>_70h_E54</vt:lpstr>
      <vt:lpstr>_70h_E55</vt:lpstr>
      <vt:lpstr>_70h_E56</vt:lpstr>
      <vt:lpstr>_70h_E57</vt:lpstr>
      <vt:lpstr>_70h_E58</vt:lpstr>
      <vt:lpstr>_70h_E59</vt:lpstr>
      <vt:lpstr>_70h_E60</vt:lpstr>
      <vt:lpstr>_70h_E61</vt:lpstr>
      <vt:lpstr>_70h_E62</vt:lpstr>
      <vt:lpstr>_70h_E64</vt:lpstr>
      <vt:lpstr>_70h_E65</vt:lpstr>
      <vt:lpstr>_70h_E7</vt:lpstr>
      <vt:lpstr>_70h_E8</vt:lpstr>
      <vt:lpstr>_70h_E9</vt:lpstr>
      <vt:lpstr>_70h_F10</vt:lpstr>
      <vt:lpstr>_70h_F11</vt:lpstr>
      <vt:lpstr>_70h_F12</vt:lpstr>
      <vt:lpstr>_70h_F13</vt:lpstr>
      <vt:lpstr>_70h_F14</vt:lpstr>
      <vt:lpstr>_70h_F15</vt:lpstr>
      <vt:lpstr>_70h_F16</vt:lpstr>
      <vt:lpstr>_70h_F17</vt:lpstr>
      <vt:lpstr>_70h_F18</vt:lpstr>
      <vt:lpstr>_70h_F19</vt:lpstr>
      <vt:lpstr>_70h_F20</vt:lpstr>
      <vt:lpstr>_70h_F21</vt:lpstr>
      <vt:lpstr>_70h_F22</vt:lpstr>
      <vt:lpstr>_70h_F23</vt:lpstr>
      <vt:lpstr>_70h_F24</vt:lpstr>
      <vt:lpstr>_70h_F25</vt:lpstr>
      <vt:lpstr>_70h_F26</vt:lpstr>
      <vt:lpstr>_70h_F27</vt:lpstr>
      <vt:lpstr>_70h_F28</vt:lpstr>
      <vt:lpstr>_70h_F29</vt:lpstr>
      <vt:lpstr>_70h_F30</vt:lpstr>
      <vt:lpstr>_70h_F31</vt:lpstr>
      <vt:lpstr>_70h_F32</vt:lpstr>
      <vt:lpstr>_70h_F33</vt:lpstr>
      <vt:lpstr>_70h_F34</vt:lpstr>
      <vt:lpstr>_70h_F35</vt:lpstr>
      <vt:lpstr>_70h_F36</vt:lpstr>
      <vt:lpstr>_70h_F37</vt:lpstr>
      <vt:lpstr>_70h_F38</vt:lpstr>
      <vt:lpstr>_70h_F39</vt:lpstr>
      <vt:lpstr>_70h_F40</vt:lpstr>
      <vt:lpstr>_70h_F41</vt:lpstr>
      <vt:lpstr>_70h_F42</vt:lpstr>
      <vt:lpstr>_70h_F43</vt:lpstr>
      <vt:lpstr>_70h_F44</vt:lpstr>
      <vt:lpstr>_70h_F45</vt:lpstr>
      <vt:lpstr>_70h_F46</vt:lpstr>
      <vt:lpstr>_70h_F47</vt:lpstr>
      <vt:lpstr>_70h_F48</vt:lpstr>
      <vt:lpstr>_70h_F49</vt:lpstr>
      <vt:lpstr>_70h_F50</vt:lpstr>
      <vt:lpstr>_70h_F51</vt:lpstr>
      <vt:lpstr>_70h_F53</vt:lpstr>
      <vt:lpstr>_70h_F54</vt:lpstr>
      <vt:lpstr>_70h_F55</vt:lpstr>
      <vt:lpstr>_70h_F56</vt:lpstr>
      <vt:lpstr>_70h_F57</vt:lpstr>
      <vt:lpstr>_70h_F58</vt:lpstr>
      <vt:lpstr>_70h_F59</vt:lpstr>
      <vt:lpstr>_70h_F60</vt:lpstr>
      <vt:lpstr>_70h_F61</vt:lpstr>
      <vt:lpstr>_70h_F62</vt:lpstr>
      <vt:lpstr>_70h_F64</vt:lpstr>
      <vt:lpstr>_70h_F65</vt:lpstr>
      <vt:lpstr>_70h_F7</vt:lpstr>
      <vt:lpstr>_70h_F8</vt:lpstr>
      <vt:lpstr>_70h_F9</vt:lpstr>
      <vt:lpstr>_71h_E10</vt:lpstr>
      <vt:lpstr>_71h_E11</vt:lpstr>
      <vt:lpstr>_71h_E12</vt:lpstr>
      <vt:lpstr>_71h_E13</vt:lpstr>
      <vt:lpstr>_71h_E14</vt:lpstr>
      <vt:lpstr>_71h_E15</vt:lpstr>
      <vt:lpstr>_71h_E16</vt:lpstr>
      <vt:lpstr>_71h_E17</vt:lpstr>
      <vt:lpstr>_71h_E18</vt:lpstr>
      <vt:lpstr>_71h_E19</vt:lpstr>
      <vt:lpstr>_71h_E20</vt:lpstr>
      <vt:lpstr>_71h_E21</vt:lpstr>
      <vt:lpstr>_71h_E22</vt:lpstr>
      <vt:lpstr>_71h_E23</vt:lpstr>
      <vt:lpstr>_71h_E24</vt:lpstr>
      <vt:lpstr>_71h_E25</vt:lpstr>
      <vt:lpstr>_71h_E26</vt:lpstr>
      <vt:lpstr>_71h_E27</vt:lpstr>
      <vt:lpstr>_71h_E28</vt:lpstr>
      <vt:lpstr>_71h_E29</vt:lpstr>
      <vt:lpstr>_71h_E30</vt:lpstr>
      <vt:lpstr>_71h_E31</vt:lpstr>
      <vt:lpstr>_71h_E32</vt:lpstr>
      <vt:lpstr>_71h_E33</vt:lpstr>
      <vt:lpstr>_71h_E34</vt:lpstr>
      <vt:lpstr>_71h_E35</vt:lpstr>
      <vt:lpstr>_71h_E36</vt:lpstr>
      <vt:lpstr>_71h_E37</vt:lpstr>
      <vt:lpstr>_71h_E38</vt:lpstr>
      <vt:lpstr>_71h_E39</vt:lpstr>
      <vt:lpstr>_71h_E40</vt:lpstr>
      <vt:lpstr>_71h_E41</vt:lpstr>
      <vt:lpstr>_71h_E42</vt:lpstr>
      <vt:lpstr>_71h_E43</vt:lpstr>
      <vt:lpstr>_71h_E44</vt:lpstr>
      <vt:lpstr>_71h_E45</vt:lpstr>
      <vt:lpstr>_71h_E46</vt:lpstr>
      <vt:lpstr>_71h_E47</vt:lpstr>
      <vt:lpstr>_71h_E48</vt:lpstr>
      <vt:lpstr>_71h_E49</vt:lpstr>
      <vt:lpstr>_71h_E50</vt:lpstr>
      <vt:lpstr>_71h_E51</vt:lpstr>
      <vt:lpstr>_71h_E53</vt:lpstr>
      <vt:lpstr>_71h_E54</vt:lpstr>
      <vt:lpstr>_71h_E55</vt:lpstr>
      <vt:lpstr>_71h_E56</vt:lpstr>
      <vt:lpstr>_71h_E57</vt:lpstr>
      <vt:lpstr>_71h_E58</vt:lpstr>
      <vt:lpstr>_71h_E59</vt:lpstr>
      <vt:lpstr>_71h_E60</vt:lpstr>
      <vt:lpstr>_71h_E61</vt:lpstr>
      <vt:lpstr>_71h_E62</vt:lpstr>
      <vt:lpstr>_71h_E64</vt:lpstr>
      <vt:lpstr>_71h_E65</vt:lpstr>
      <vt:lpstr>_71h_E7</vt:lpstr>
      <vt:lpstr>_71h_E8</vt:lpstr>
      <vt:lpstr>_71h_E9</vt:lpstr>
      <vt:lpstr>_71h_F10</vt:lpstr>
      <vt:lpstr>_71h_F11</vt:lpstr>
      <vt:lpstr>_71h_F12</vt:lpstr>
      <vt:lpstr>_71h_F13</vt:lpstr>
      <vt:lpstr>_71h_F14</vt:lpstr>
      <vt:lpstr>_71h_F15</vt:lpstr>
      <vt:lpstr>_71h_F16</vt:lpstr>
      <vt:lpstr>_71h_F17</vt:lpstr>
      <vt:lpstr>_71h_F18</vt:lpstr>
      <vt:lpstr>_71h_F19</vt:lpstr>
      <vt:lpstr>_71h_F20</vt:lpstr>
      <vt:lpstr>_71h_F21</vt:lpstr>
      <vt:lpstr>_71h_F22</vt:lpstr>
      <vt:lpstr>_71h_F23</vt:lpstr>
      <vt:lpstr>_71h_F24</vt:lpstr>
      <vt:lpstr>_71h_F25</vt:lpstr>
      <vt:lpstr>_71h_F26</vt:lpstr>
      <vt:lpstr>_71h_F27</vt:lpstr>
      <vt:lpstr>_71h_F28</vt:lpstr>
      <vt:lpstr>_71h_F29</vt:lpstr>
      <vt:lpstr>_71h_F30</vt:lpstr>
      <vt:lpstr>_71h_F31</vt:lpstr>
      <vt:lpstr>_71h_F32</vt:lpstr>
      <vt:lpstr>_71h_F33</vt:lpstr>
      <vt:lpstr>_71h_F34</vt:lpstr>
      <vt:lpstr>_71h_F35</vt:lpstr>
      <vt:lpstr>_71h_F36</vt:lpstr>
      <vt:lpstr>_71h_F37</vt:lpstr>
      <vt:lpstr>_71h_F38</vt:lpstr>
      <vt:lpstr>_71h_F39</vt:lpstr>
      <vt:lpstr>_71h_F40</vt:lpstr>
      <vt:lpstr>_71h_F41</vt:lpstr>
      <vt:lpstr>_71h_F42</vt:lpstr>
      <vt:lpstr>_71h_F43</vt:lpstr>
      <vt:lpstr>_71h_F44</vt:lpstr>
      <vt:lpstr>_71h_F45</vt:lpstr>
      <vt:lpstr>_71h_F46</vt:lpstr>
      <vt:lpstr>_71h_F47</vt:lpstr>
      <vt:lpstr>_71h_F48</vt:lpstr>
      <vt:lpstr>_71h_F49</vt:lpstr>
      <vt:lpstr>_71h_F50</vt:lpstr>
      <vt:lpstr>_71h_F51</vt:lpstr>
      <vt:lpstr>_71h_F53</vt:lpstr>
      <vt:lpstr>_71h_F54</vt:lpstr>
      <vt:lpstr>_71h_F55</vt:lpstr>
      <vt:lpstr>_71h_F56</vt:lpstr>
      <vt:lpstr>_71h_F57</vt:lpstr>
      <vt:lpstr>_71h_F58</vt:lpstr>
      <vt:lpstr>_71h_F59</vt:lpstr>
      <vt:lpstr>_71h_F60</vt:lpstr>
      <vt:lpstr>_71h_F61</vt:lpstr>
      <vt:lpstr>_71h_F62</vt:lpstr>
      <vt:lpstr>_71h_F64</vt:lpstr>
      <vt:lpstr>_71h_F65</vt:lpstr>
      <vt:lpstr>_71h_F7</vt:lpstr>
      <vt:lpstr>_71h_F8</vt:lpstr>
      <vt:lpstr>_71h_F9</vt:lpstr>
      <vt:lpstr>_72h_E10</vt:lpstr>
      <vt:lpstr>_72h_E11</vt:lpstr>
      <vt:lpstr>_72h_E12</vt:lpstr>
      <vt:lpstr>_72h_E13</vt:lpstr>
      <vt:lpstr>_72h_E14</vt:lpstr>
      <vt:lpstr>_72h_E15</vt:lpstr>
      <vt:lpstr>_72h_E16</vt:lpstr>
      <vt:lpstr>_72h_E17</vt:lpstr>
      <vt:lpstr>_72h_E18</vt:lpstr>
      <vt:lpstr>_72h_E19</vt:lpstr>
      <vt:lpstr>_72h_E20</vt:lpstr>
      <vt:lpstr>_72h_E21</vt:lpstr>
      <vt:lpstr>_72h_E22</vt:lpstr>
      <vt:lpstr>_72h_E23</vt:lpstr>
      <vt:lpstr>_72h_E24</vt:lpstr>
      <vt:lpstr>_72h_E25</vt:lpstr>
      <vt:lpstr>_72h_E26</vt:lpstr>
      <vt:lpstr>_72h_E27</vt:lpstr>
      <vt:lpstr>_72h_E28</vt:lpstr>
      <vt:lpstr>_72h_E29</vt:lpstr>
      <vt:lpstr>_72h_E30</vt:lpstr>
      <vt:lpstr>_72h_E31</vt:lpstr>
      <vt:lpstr>_72h_E32</vt:lpstr>
      <vt:lpstr>_72h_E33</vt:lpstr>
      <vt:lpstr>_72h_E34</vt:lpstr>
      <vt:lpstr>_72h_E35</vt:lpstr>
      <vt:lpstr>_72h_E36</vt:lpstr>
      <vt:lpstr>_72h_E37</vt:lpstr>
      <vt:lpstr>_72h_E38</vt:lpstr>
      <vt:lpstr>_72h_E39</vt:lpstr>
      <vt:lpstr>_72h_E40</vt:lpstr>
      <vt:lpstr>_72h_E41</vt:lpstr>
      <vt:lpstr>_72h_E42</vt:lpstr>
      <vt:lpstr>_72h_E43</vt:lpstr>
      <vt:lpstr>_72h_E44</vt:lpstr>
      <vt:lpstr>_72h_E45</vt:lpstr>
      <vt:lpstr>_72h_E46</vt:lpstr>
      <vt:lpstr>_72h_E47</vt:lpstr>
      <vt:lpstr>_72h_E48</vt:lpstr>
      <vt:lpstr>_72h_E49</vt:lpstr>
      <vt:lpstr>_72h_E50</vt:lpstr>
      <vt:lpstr>_72h_E51</vt:lpstr>
      <vt:lpstr>_72h_E53</vt:lpstr>
      <vt:lpstr>_72h_E54</vt:lpstr>
      <vt:lpstr>_72h_E55</vt:lpstr>
      <vt:lpstr>_72h_E56</vt:lpstr>
      <vt:lpstr>_72h_E57</vt:lpstr>
      <vt:lpstr>_72h_E58</vt:lpstr>
      <vt:lpstr>_72h_E59</vt:lpstr>
      <vt:lpstr>_72h_E60</vt:lpstr>
      <vt:lpstr>_72h_E61</vt:lpstr>
      <vt:lpstr>_72h_E62</vt:lpstr>
      <vt:lpstr>_72h_E64</vt:lpstr>
      <vt:lpstr>_72h_E65</vt:lpstr>
      <vt:lpstr>_72h_E7</vt:lpstr>
      <vt:lpstr>_72h_E8</vt:lpstr>
      <vt:lpstr>_72h_E9</vt:lpstr>
      <vt:lpstr>_72h_F10</vt:lpstr>
      <vt:lpstr>_72h_F11</vt:lpstr>
      <vt:lpstr>_72h_F12</vt:lpstr>
      <vt:lpstr>_72h_F13</vt:lpstr>
      <vt:lpstr>_72h_F14</vt:lpstr>
      <vt:lpstr>_72h_F15</vt:lpstr>
      <vt:lpstr>_72h_F16</vt:lpstr>
      <vt:lpstr>_72h_F17</vt:lpstr>
      <vt:lpstr>_72h_F18</vt:lpstr>
      <vt:lpstr>_72h_F19</vt:lpstr>
      <vt:lpstr>_72h_F20</vt:lpstr>
      <vt:lpstr>_72h_F21</vt:lpstr>
      <vt:lpstr>_72h_F22</vt:lpstr>
      <vt:lpstr>_72h_F23</vt:lpstr>
      <vt:lpstr>_72h_F24</vt:lpstr>
      <vt:lpstr>_72h_F25</vt:lpstr>
      <vt:lpstr>_72h_F26</vt:lpstr>
      <vt:lpstr>_72h_F27</vt:lpstr>
      <vt:lpstr>_72h_F28</vt:lpstr>
      <vt:lpstr>_72h_F29</vt:lpstr>
      <vt:lpstr>_72h_F30</vt:lpstr>
      <vt:lpstr>_72h_F31</vt:lpstr>
      <vt:lpstr>_72h_F32</vt:lpstr>
      <vt:lpstr>_72h_F33</vt:lpstr>
      <vt:lpstr>_72h_F34</vt:lpstr>
      <vt:lpstr>_72h_F35</vt:lpstr>
      <vt:lpstr>_72h_F36</vt:lpstr>
      <vt:lpstr>_72h_F37</vt:lpstr>
      <vt:lpstr>_72h_F38</vt:lpstr>
      <vt:lpstr>_72h_F39</vt:lpstr>
      <vt:lpstr>_72h_F40</vt:lpstr>
      <vt:lpstr>_72h_F41</vt:lpstr>
      <vt:lpstr>_72h_F42</vt:lpstr>
      <vt:lpstr>_72h_F43</vt:lpstr>
      <vt:lpstr>_72h_F44</vt:lpstr>
      <vt:lpstr>_72h_F45</vt:lpstr>
      <vt:lpstr>_72h_F46</vt:lpstr>
      <vt:lpstr>_72h_F47</vt:lpstr>
      <vt:lpstr>_72h_F48</vt:lpstr>
      <vt:lpstr>_72h_F49</vt:lpstr>
      <vt:lpstr>_72h_F50</vt:lpstr>
      <vt:lpstr>_72h_F51</vt:lpstr>
      <vt:lpstr>_72h_F53</vt:lpstr>
      <vt:lpstr>_72h_F54</vt:lpstr>
      <vt:lpstr>_72h_F55</vt:lpstr>
      <vt:lpstr>_72h_F56</vt:lpstr>
      <vt:lpstr>_72h_F57</vt:lpstr>
      <vt:lpstr>_72h_F58</vt:lpstr>
      <vt:lpstr>_72h_F59</vt:lpstr>
      <vt:lpstr>_72h_F60</vt:lpstr>
      <vt:lpstr>_72h_F61</vt:lpstr>
      <vt:lpstr>_72h_F62</vt:lpstr>
      <vt:lpstr>_72h_F64</vt:lpstr>
      <vt:lpstr>_72h_F65</vt:lpstr>
      <vt:lpstr>_72h_F7</vt:lpstr>
      <vt:lpstr>_72h_F8</vt:lpstr>
      <vt:lpstr>_72h_F9</vt:lpstr>
      <vt:lpstr>_73h_E10</vt:lpstr>
      <vt:lpstr>_73h_E11</vt:lpstr>
      <vt:lpstr>_73h_E12</vt:lpstr>
      <vt:lpstr>_73h_E13</vt:lpstr>
      <vt:lpstr>_73h_E14</vt:lpstr>
      <vt:lpstr>_73h_E15</vt:lpstr>
      <vt:lpstr>_73h_E16</vt:lpstr>
      <vt:lpstr>_73h_E17</vt:lpstr>
      <vt:lpstr>_73h_E18</vt:lpstr>
      <vt:lpstr>_73h_E19</vt:lpstr>
      <vt:lpstr>_73h_E20</vt:lpstr>
      <vt:lpstr>_73h_E21</vt:lpstr>
      <vt:lpstr>_73h_E22</vt:lpstr>
      <vt:lpstr>_73h_E23</vt:lpstr>
      <vt:lpstr>_73h_E24</vt:lpstr>
      <vt:lpstr>_73h_E25</vt:lpstr>
      <vt:lpstr>_73h_E26</vt:lpstr>
      <vt:lpstr>_73h_E27</vt:lpstr>
      <vt:lpstr>_73h_E28</vt:lpstr>
      <vt:lpstr>_73h_E29</vt:lpstr>
      <vt:lpstr>_73h_E30</vt:lpstr>
      <vt:lpstr>_73h_E31</vt:lpstr>
      <vt:lpstr>_73h_E32</vt:lpstr>
      <vt:lpstr>_73h_E33</vt:lpstr>
      <vt:lpstr>_73h_E34</vt:lpstr>
      <vt:lpstr>_73h_E35</vt:lpstr>
      <vt:lpstr>_73h_E36</vt:lpstr>
      <vt:lpstr>_73h_E37</vt:lpstr>
      <vt:lpstr>_73h_E38</vt:lpstr>
      <vt:lpstr>_73h_E39</vt:lpstr>
      <vt:lpstr>_73h_E40</vt:lpstr>
      <vt:lpstr>_73h_E41</vt:lpstr>
      <vt:lpstr>_73h_E42</vt:lpstr>
      <vt:lpstr>_73h_E43</vt:lpstr>
      <vt:lpstr>_73h_E44</vt:lpstr>
      <vt:lpstr>_73h_E45</vt:lpstr>
      <vt:lpstr>_73h_E46</vt:lpstr>
      <vt:lpstr>_73h_E47</vt:lpstr>
      <vt:lpstr>_73h_E48</vt:lpstr>
      <vt:lpstr>_73h_E49</vt:lpstr>
      <vt:lpstr>_73h_E50</vt:lpstr>
      <vt:lpstr>_73h_E51</vt:lpstr>
      <vt:lpstr>_73h_E53</vt:lpstr>
      <vt:lpstr>_73h_E54</vt:lpstr>
      <vt:lpstr>_73h_E55</vt:lpstr>
      <vt:lpstr>_73h_E56</vt:lpstr>
      <vt:lpstr>_73h_E57</vt:lpstr>
      <vt:lpstr>_73h_E58</vt:lpstr>
      <vt:lpstr>_73h_E59</vt:lpstr>
      <vt:lpstr>_73h_E60</vt:lpstr>
      <vt:lpstr>_73h_E61</vt:lpstr>
      <vt:lpstr>_73h_E62</vt:lpstr>
      <vt:lpstr>_73h_E64</vt:lpstr>
      <vt:lpstr>_73h_E65</vt:lpstr>
      <vt:lpstr>_73h_E7</vt:lpstr>
      <vt:lpstr>_73h_E8</vt:lpstr>
      <vt:lpstr>_73h_E9</vt:lpstr>
      <vt:lpstr>_73h_F10</vt:lpstr>
      <vt:lpstr>_73h_F11</vt:lpstr>
      <vt:lpstr>_73h_F12</vt:lpstr>
      <vt:lpstr>_73h_F13</vt:lpstr>
      <vt:lpstr>_73h_F14</vt:lpstr>
      <vt:lpstr>_73h_F15</vt:lpstr>
      <vt:lpstr>_73h_F16</vt:lpstr>
      <vt:lpstr>_73h_F17</vt:lpstr>
      <vt:lpstr>_73h_F18</vt:lpstr>
      <vt:lpstr>_73h_F19</vt:lpstr>
      <vt:lpstr>_73h_F20</vt:lpstr>
      <vt:lpstr>_73h_F21</vt:lpstr>
      <vt:lpstr>_73h_F22</vt:lpstr>
      <vt:lpstr>_73h_F23</vt:lpstr>
      <vt:lpstr>_73h_F24</vt:lpstr>
      <vt:lpstr>_73h_F25</vt:lpstr>
      <vt:lpstr>_73h_F26</vt:lpstr>
      <vt:lpstr>_73h_F27</vt:lpstr>
      <vt:lpstr>_73h_F28</vt:lpstr>
      <vt:lpstr>_73h_F29</vt:lpstr>
      <vt:lpstr>_73h_F30</vt:lpstr>
      <vt:lpstr>_73h_F31</vt:lpstr>
      <vt:lpstr>_73h_F32</vt:lpstr>
      <vt:lpstr>_73h_F33</vt:lpstr>
      <vt:lpstr>_73h_F34</vt:lpstr>
      <vt:lpstr>_73h_F35</vt:lpstr>
      <vt:lpstr>_73h_F36</vt:lpstr>
      <vt:lpstr>_73h_F37</vt:lpstr>
      <vt:lpstr>_73h_F38</vt:lpstr>
      <vt:lpstr>_73h_F39</vt:lpstr>
      <vt:lpstr>_73h_F40</vt:lpstr>
      <vt:lpstr>_73h_F41</vt:lpstr>
      <vt:lpstr>_73h_F42</vt:lpstr>
      <vt:lpstr>_73h_F43</vt:lpstr>
      <vt:lpstr>_73h_F44</vt:lpstr>
      <vt:lpstr>_73h_F45</vt:lpstr>
      <vt:lpstr>_73h_F46</vt:lpstr>
      <vt:lpstr>_73h_F47</vt:lpstr>
      <vt:lpstr>_73h_F48</vt:lpstr>
      <vt:lpstr>_73h_F49</vt:lpstr>
      <vt:lpstr>_73h_F50</vt:lpstr>
      <vt:lpstr>_73h_F51</vt:lpstr>
      <vt:lpstr>_73h_F53</vt:lpstr>
      <vt:lpstr>_73h_F54</vt:lpstr>
      <vt:lpstr>_73h_F55</vt:lpstr>
      <vt:lpstr>_73h_F56</vt:lpstr>
      <vt:lpstr>_73h_F57</vt:lpstr>
      <vt:lpstr>_73h_F58</vt:lpstr>
      <vt:lpstr>_73h_F59</vt:lpstr>
      <vt:lpstr>_73h_F60</vt:lpstr>
      <vt:lpstr>_73h_F61</vt:lpstr>
      <vt:lpstr>_73h_F62</vt:lpstr>
      <vt:lpstr>_73h_F64</vt:lpstr>
      <vt:lpstr>_73h_F65</vt:lpstr>
      <vt:lpstr>_73h_F7</vt:lpstr>
      <vt:lpstr>_73h_F8</vt:lpstr>
      <vt:lpstr>_73h_F9</vt:lpstr>
      <vt:lpstr>_74h_E10</vt:lpstr>
      <vt:lpstr>_74h_E11</vt:lpstr>
      <vt:lpstr>_74h_E12</vt:lpstr>
      <vt:lpstr>_74h_E13</vt:lpstr>
      <vt:lpstr>_74h_E14</vt:lpstr>
      <vt:lpstr>_74h_E15</vt:lpstr>
      <vt:lpstr>_74h_E16</vt:lpstr>
      <vt:lpstr>_74h_E17</vt:lpstr>
      <vt:lpstr>_74h_E18</vt:lpstr>
      <vt:lpstr>_74h_E19</vt:lpstr>
      <vt:lpstr>_74h_E20</vt:lpstr>
      <vt:lpstr>_74h_E21</vt:lpstr>
      <vt:lpstr>_74h_E22</vt:lpstr>
      <vt:lpstr>_74h_E23</vt:lpstr>
      <vt:lpstr>_74h_E24</vt:lpstr>
      <vt:lpstr>_74h_E25</vt:lpstr>
      <vt:lpstr>_74h_E26</vt:lpstr>
      <vt:lpstr>_74h_E27</vt:lpstr>
      <vt:lpstr>_74h_E28</vt:lpstr>
      <vt:lpstr>_74h_E29</vt:lpstr>
      <vt:lpstr>_74h_E30</vt:lpstr>
      <vt:lpstr>_74h_E31</vt:lpstr>
      <vt:lpstr>_74h_E32</vt:lpstr>
      <vt:lpstr>_74h_E33</vt:lpstr>
      <vt:lpstr>_74h_E34</vt:lpstr>
      <vt:lpstr>_74h_E35</vt:lpstr>
      <vt:lpstr>_74h_E36</vt:lpstr>
      <vt:lpstr>_74h_E37</vt:lpstr>
      <vt:lpstr>_74h_E38</vt:lpstr>
      <vt:lpstr>_74h_E39</vt:lpstr>
      <vt:lpstr>_74h_E40</vt:lpstr>
      <vt:lpstr>_74h_E41</vt:lpstr>
      <vt:lpstr>_74h_E42</vt:lpstr>
      <vt:lpstr>_74h_E43</vt:lpstr>
      <vt:lpstr>_74h_E44</vt:lpstr>
      <vt:lpstr>_74h_E45</vt:lpstr>
      <vt:lpstr>_74h_E46</vt:lpstr>
      <vt:lpstr>_74h_E47</vt:lpstr>
      <vt:lpstr>_74h_E48</vt:lpstr>
      <vt:lpstr>_74h_E49</vt:lpstr>
      <vt:lpstr>_74h_E50</vt:lpstr>
      <vt:lpstr>_74h_E51</vt:lpstr>
      <vt:lpstr>_74h_E53</vt:lpstr>
      <vt:lpstr>_74h_E54</vt:lpstr>
      <vt:lpstr>_74h_E55</vt:lpstr>
      <vt:lpstr>_74h_E56</vt:lpstr>
      <vt:lpstr>_74h_E57</vt:lpstr>
      <vt:lpstr>_74h_E58</vt:lpstr>
      <vt:lpstr>_74h_E59</vt:lpstr>
      <vt:lpstr>_74h_E60</vt:lpstr>
      <vt:lpstr>_74h_E61</vt:lpstr>
      <vt:lpstr>_74h_E62</vt:lpstr>
      <vt:lpstr>_74h_E64</vt:lpstr>
      <vt:lpstr>_74h_E65</vt:lpstr>
      <vt:lpstr>_74h_E7</vt:lpstr>
      <vt:lpstr>_74h_E8</vt:lpstr>
      <vt:lpstr>_74h_E9</vt:lpstr>
      <vt:lpstr>_74h_F10</vt:lpstr>
      <vt:lpstr>_74h_F11</vt:lpstr>
      <vt:lpstr>_74h_F12</vt:lpstr>
      <vt:lpstr>_74h_F13</vt:lpstr>
      <vt:lpstr>_74h_F14</vt:lpstr>
      <vt:lpstr>_74h_F15</vt:lpstr>
      <vt:lpstr>_74h_F16</vt:lpstr>
      <vt:lpstr>_74h_F17</vt:lpstr>
      <vt:lpstr>_74h_F18</vt:lpstr>
      <vt:lpstr>_74h_F19</vt:lpstr>
      <vt:lpstr>_74h_F20</vt:lpstr>
      <vt:lpstr>_74h_F21</vt:lpstr>
      <vt:lpstr>_74h_F22</vt:lpstr>
      <vt:lpstr>_74h_F23</vt:lpstr>
      <vt:lpstr>_74h_F24</vt:lpstr>
      <vt:lpstr>_74h_F25</vt:lpstr>
      <vt:lpstr>_74h_F26</vt:lpstr>
      <vt:lpstr>_74h_F27</vt:lpstr>
      <vt:lpstr>_74h_F28</vt:lpstr>
      <vt:lpstr>_74h_F29</vt:lpstr>
      <vt:lpstr>_74h_F30</vt:lpstr>
      <vt:lpstr>_74h_F31</vt:lpstr>
      <vt:lpstr>_74h_F32</vt:lpstr>
      <vt:lpstr>_74h_F33</vt:lpstr>
      <vt:lpstr>_74h_F34</vt:lpstr>
      <vt:lpstr>_74h_F35</vt:lpstr>
      <vt:lpstr>_74h_F36</vt:lpstr>
      <vt:lpstr>_74h_F37</vt:lpstr>
      <vt:lpstr>_74h_F38</vt:lpstr>
      <vt:lpstr>_74h_F39</vt:lpstr>
      <vt:lpstr>_74h_F40</vt:lpstr>
      <vt:lpstr>_74h_F41</vt:lpstr>
      <vt:lpstr>_74h_F42</vt:lpstr>
      <vt:lpstr>_74h_F43</vt:lpstr>
      <vt:lpstr>_74h_F44</vt:lpstr>
      <vt:lpstr>_74h_F45</vt:lpstr>
      <vt:lpstr>_74h_F46</vt:lpstr>
      <vt:lpstr>_74h_F47</vt:lpstr>
      <vt:lpstr>_74h_F48</vt:lpstr>
      <vt:lpstr>_74h_F49</vt:lpstr>
      <vt:lpstr>_74h_F50</vt:lpstr>
      <vt:lpstr>_74h_F51</vt:lpstr>
      <vt:lpstr>_74h_F53</vt:lpstr>
      <vt:lpstr>_74h_F54</vt:lpstr>
      <vt:lpstr>_74h_F55</vt:lpstr>
      <vt:lpstr>_74h_F56</vt:lpstr>
      <vt:lpstr>_74h_F57</vt:lpstr>
      <vt:lpstr>_74h_F58</vt:lpstr>
      <vt:lpstr>_74h_F59</vt:lpstr>
      <vt:lpstr>_74h_F60</vt:lpstr>
      <vt:lpstr>_74h_F61</vt:lpstr>
      <vt:lpstr>_74h_F62</vt:lpstr>
      <vt:lpstr>_74h_F64</vt:lpstr>
      <vt:lpstr>_74h_F65</vt:lpstr>
      <vt:lpstr>_74h_F7</vt:lpstr>
      <vt:lpstr>_74h_F8</vt:lpstr>
      <vt:lpstr>_74h_F9</vt:lpstr>
      <vt:lpstr>_75h_E10</vt:lpstr>
      <vt:lpstr>_75h_E11</vt:lpstr>
      <vt:lpstr>_75h_E12</vt:lpstr>
      <vt:lpstr>_75h_E13</vt:lpstr>
      <vt:lpstr>_75h_E14</vt:lpstr>
      <vt:lpstr>_75h_E15</vt:lpstr>
      <vt:lpstr>_75h_E16</vt:lpstr>
      <vt:lpstr>_75h_E17</vt:lpstr>
      <vt:lpstr>_75h_E18</vt:lpstr>
      <vt:lpstr>_75h_E19</vt:lpstr>
      <vt:lpstr>_75h_E20</vt:lpstr>
      <vt:lpstr>_75h_E21</vt:lpstr>
      <vt:lpstr>_75h_E22</vt:lpstr>
      <vt:lpstr>_75h_E23</vt:lpstr>
      <vt:lpstr>_75h_E24</vt:lpstr>
      <vt:lpstr>_75h_E25</vt:lpstr>
      <vt:lpstr>_75h_E26</vt:lpstr>
      <vt:lpstr>_75h_E27</vt:lpstr>
      <vt:lpstr>_75h_E28</vt:lpstr>
      <vt:lpstr>_75h_E29</vt:lpstr>
      <vt:lpstr>_75h_E30</vt:lpstr>
      <vt:lpstr>_75h_E31</vt:lpstr>
      <vt:lpstr>_75h_E32</vt:lpstr>
      <vt:lpstr>_75h_E33</vt:lpstr>
      <vt:lpstr>_75h_E34</vt:lpstr>
      <vt:lpstr>_75h_E35</vt:lpstr>
      <vt:lpstr>_75h_E36</vt:lpstr>
      <vt:lpstr>_75h_E37</vt:lpstr>
      <vt:lpstr>_75h_E38</vt:lpstr>
      <vt:lpstr>_75h_E39</vt:lpstr>
      <vt:lpstr>_75h_E40</vt:lpstr>
      <vt:lpstr>_75h_E41</vt:lpstr>
      <vt:lpstr>_75h_E42</vt:lpstr>
      <vt:lpstr>_75h_E43</vt:lpstr>
      <vt:lpstr>_75h_E44</vt:lpstr>
      <vt:lpstr>_75h_E45</vt:lpstr>
      <vt:lpstr>_75h_E46</vt:lpstr>
      <vt:lpstr>_75h_E47</vt:lpstr>
      <vt:lpstr>_75h_E48</vt:lpstr>
      <vt:lpstr>_75h_E49</vt:lpstr>
      <vt:lpstr>_75h_E50</vt:lpstr>
      <vt:lpstr>_75h_E51</vt:lpstr>
      <vt:lpstr>_75h_E53</vt:lpstr>
      <vt:lpstr>_75h_E54</vt:lpstr>
      <vt:lpstr>_75h_E55</vt:lpstr>
      <vt:lpstr>_75h_E56</vt:lpstr>
      <vt:lpstr>_75h_E57</vt:lpstr>
      <vt:lpstr>_75h_E58</vt:lpstr>
      <vt:lpstr>_75h_E59</vt:lpstr>
      <vt:lpstr>_75h_E60</vt:lpstr>
      <vt:lpstr>_75h_E61</vt:lpstr>
      <vt:lpstr>_75h_E62</vt:lpstr>
      <vt:lpstr>_75h_E64</vt:lpstr>
      <vt:lpstr>_75h_E65</vt:lpstr>
      <vt:lpstr>_75h_E7</vt:lpstr>
      <vt:lpstr>_75h_E8</vt:lpstr>
      <vt:lpstr>_75h_E9</vt:lpstr>
      <vt:lpstr>_75h_F10</vt:lpstr>
      <vt:lpstr>_75h_F11</vt:lpstr>
      <vt:lpstr>_75h_F12</vt:lpstr>
      <vt:lpstr>_75h_F13</vt:lpstr>
      <vt:lpstr>_75h_F14</vt:lpstr>
      <vt:lpstr>_75h_F15</vt:lpstr>
      <vt:lpstr>_75h_F16</vt:lpstr>
      <vt:lpstr>_75h_F17</vt:lpstr>
      <vt:lpstr>_75h_F18</vt:lpstr>
      <vt:lpstr>_75h_F19</vt:lpstr>
      <vt:lpstr>_75h_F20</vt:lpstr>
      <vt:lpstr>_75h_F21</vt:lpstr>
      <vt:lpstr>_75h_F22</vt:lpstr>
      <vt:lpstr>_75h_F23</vt:lpstr>
      <vt:lpstr>_75h_F24</vt:lpstr>
      <vt:lpstr>_75h_F25</vt:lpstr>
      <vt:lpstr>_75h_F26</vt:lpstr>
      <vt:lpstr>_75h_F27</vt:lpstr>
      <vt:lpstr>_75h_F28</vt:lpstr>
      <vt:lpstr>_75h_F29</vt:lpstr>
      <vt:lpstr>_75h_F30</vt:lpstr>
      <vt:lpstr>_75h_F31</vt:lpstr>
      <vt:lpstr>_75h_F32</vt:lpstr>
      <vt:lpstr>_75h_F33</vt:lpstr>
      <vt:lpstr>_75h_F34</vt:lpstr>
      <vt:lpstr>_75h_F35</vt:lpstr>
      <vt:lpstr>_75h_F36</vt:lpstr>
      <vt:lpstr>_75h_F37</vt:lpstr>
      <vt:lpstr>_75h_F38</vt:lpstr>
      <vt:lpstr>_75h_F39</vt:lpstr>
      <vt:lpstr>_75h_F40</vt:lpstr>
      <vt:lpstr>_75h_F41</vt:lpstr>
      <vt:lpstr>_75h_F42</vt:lpstr>
      <vt:lpstr>_75h_F43</vt:lpstr>
      <vt:lpstr>_75h_F44</vt:lpstr>
      <vt:lpstr>_75h_F45</vt:lpstr>
      <vt:lpstr>_75h_F46</vt:lpstr>
      <vt:lpstr>_75h_F47</vt:lpstr>
      <vt:lpstr>_75h_F48</vt:lpstr>
      <vt:lpstr>_75h_F49</vt:lpstr>
      <vt:lpstr>_75h_F50</vt:lpstr>
      <vt:lpstr>_75h_F51</vt:lpstr>
      <vt:lpstr>_75h_F53</vt:lpstr>
      <vt:lpstr>_75h_F54</vt:lpstr>
      <vt:lpstr>_75h_F55</vt:lpstr>
      <vt:lpstr>_75h_F56</vt:lpstr>
      <vt:lpstr>_75h_F57</vt:lpstr>
      <vt:lpstr>_75h_F58</vt:lpstr>
      <vt:lpstr>_75h_F59</vt:lpstr>
      <vt:lpstr>_75h_F60</vt:lpstr>
      <vt:lpstr>_75h_F61</vt:lpstr>
      <vt:lpstr>_75h_F62</vt:lpstr>
      <vt:lpstr>_75h_F64</vt:lpstr>
      <vt:lpstr>_75h_F65</vt:lpstr>
      <vt:lpstr>_75h_F7</vt:lpstr>
      <vt:lpstr>_75h_F8</vt:lpstr>
      <vt:lpstr>_75h_F9</vt:lpstr>
      <vt:lpstr>_76h_E10</vt:lpstr>
      <vt:lpstr>_76h_E11</vt:lpstr>
      <vt:lpstr>_76h_E12</vt:lpstr>
      <vt:lpstr>_76h_E13</vt:lpstr>
      <vt:lpstr>_76h_E14</vt:lpstr>
      <vt:lpstr>_76h_E15</vt:lpstr>
      <vt:lpstr>_76h_E16</vt:lpstr>
      <vt:lpstr>_76h_E17</vt:lpstr>
      <vt:lpstr>_76h_E18</vt:lpstr>
      <vt:lpstr>_76h_E19</vt:lpstr>
      <vt:lpstr>_76h_E20</vt:lpstr>
      <vt:lpstr>_76h_E21</vt:lpstr>
      <vt:lpstr>_76h_E22</vt:lpstr>
      <vt:lpstr>_76h_E23</vt:lpstr>
      <vt:lpstr>_76h_E24</vt:lpstr>
      <vt:lpstr>_76h_E25</vt:lpstr>
      <vt:lpstr>_76h_E26</vt:lpstr>
      <vt:lpstr>_76h_E27</vt:lpstr>
      <vt:lpstr>_76h_E28</vt:lpstr>
      <vt:lpstr>_76h_E29</vt:lpstr>
      <vt:lpstr>_76h_E30</vt:lpstr>
      <vt:lpstr>_76h_E31</vt:lpstr>
      <vt:lpstr>_76h_E32</vt:lpstr>
      <vt:lpstr>_76h_E33</vt:lpstr>
      <vt:lpstr>_76h_E34</vt:lpstr>
      <vt:lpstr>_76h_E35</vt:lpstr>
      <vt:lpstr>_76h_E36</vt:lpstr>
      <vt:lpstr>_76h_E37</vt:lpstr>
      <vt:lpstr>_76h_E38</vt:lpstr>
      <vt:lpstr>_76h_E39</vt:lpstr>
      <vt:lpstr>_76h_E40</vt:lpstr>
      <vt:lpstr>_76h_E41</vt:lpstr>
      <vt:lpstr>_76h_E42</vt:lpstr>
      <vt:lpstr>_76h_E43</vt:lpstr>
      <vt:lpstr>_76h_E44</vt:lpstr>
      <vt:lpstr>_76h_E45</vt:lpstr>
      <vt:lpstr>_76h_E46</vt:lpstr>
      <vt:lpstr>_76h_E47</vt:lpstr>
      <vt:lpstr>_76h_E48</vt:lpstr>
      <vt:lpstr>_76h_E49</vt:lpstr>
      <vt:lpstr>_76h_E50</vt:lpstr>
      <vt:lpstr>_76h_E51</vt:lpstr>
      <vt:lpstr>_76h_E53</vt:lpstr>
      <vt:lpstr>_76h_E54</vt:lpstr>
      <vt:lpstr>_76h_E55</vt:lpstr>
      <vt:lpstr>_76h_E56</vt:lpstr>
      <vt:lpstr>_76h_E57</vt:lpstr>
      <vt:lpstr>_76h_E58</vt:lpstr>
      <vt:lpstr>_76h_E59</vt:lpstr>
      <vt:lpstr>_76h_E60</vt:lpstr>
      <vt:lpstr>_76h_E61</vt:lpstr>
      <vt:lpstr>_76h_E62</vt:lpstr>
      <vt:lpstr>_76h_E64</vt:lpstr>
      <vt:lpstr>_76h_E65</vt:lpstr>
      <vt:lpstr>_76h_E7</vt:lpstr>
      <vt:lpstr>_76h_E8</vt:lpstr>
      <vt:lpstr>_76h_E9</vt:lpstr>
      <vt:lpstr>_76h_F10</vt:lpstr>
      <vt:lpstr>_76h_F11</vt:lpstr>
      <vt:lpstr>_76h_F12</vt:lpstr>
      <vt:lpstr>_76h_F13</vt:lpstr>
      <vt:lpstr>_76h_F14</vt:lpstr>
      <vt:lpstr>_76h_F15</vt:lpstr>
      <vt:lpstr>_76h_F16</vt:lpstr>
      <vt:lpstr>_76h_F17</vt:lpstr>
      <vt:lpstr>_76h_F18</vt:lpstr>
      <vt:lpstr>_76h_F19</vt:lpstr>
      <vt:lpstr>_76h_F20</vt:lpstr>
      <vt:lpstr>_76h_F21</vt:lpstr>
      <vt:lpstr>_76h_F22</vt:lpstr>
      <vt:lpstr>_76h_F23</vt:lpstr>
      <vt:lpstr>_76h_F24</vt:lpstr>
      <vt:lpstr>_76h_F25</vt:lpstr>
      <vt:lpstr>_76h_F26</vt:lpstr>
      <vt:lpstr>_76h_F27</vt:lpstr>
      <vt:lpstr>_76h_F28</vt:lpstr>
      <vt:lpstr>_76h_F29</vt:lpstr>
      <vt:lpstr>_76h_F30</vt:lpstr>
      <vt:lpstr>_76h_F31</vt:lpstr>
      <vt:lpstr>_76h_F32</vt:lpstr>
      <vt:lpstr>_76h_F33</vt:lpstr>
      <vt:lpstr>_76h_F34</vt:lpstr>
      <vt:lpstr>_76h_F35</vt:lpstr>
      <vt:lpstr>_76h_F36</vt:lpstr>
      <vt:lpstr>_76h_F37</vt:lpstr>
      <vt:lpstr>_76h_F38</vt:lpstr>
      <vt:lpstr>_76h_F39</vt:lpstr>
      <vt:lpstr>_76h_F40</vt:lpstr>
      <vt:lpstr>_76h_F41</vt:lpstr>
      <vt:lpstr>_76h_F42</vt:lpstr>
      <vt:lpstr>_76h_F43</vt:lpstr>
      <vt:lpstr>_76h_F44</vt:lpstr>
      <vt:lpstr>_76h_F45</vt:lpstr>
      <vt:lpstr>_76h_F46</vt:lpstr>
      <vt:lpstr>_76h_F47</vt:lpstr>
      <vt:lpstr>_76h_F48</vt:lpstr>
      <vt:lpstr>_76h_F49</vt:lpstr>
      <vt:lpstr>_76h_F50</vt:lpstr>
      <vt:lpstr>_76h_F51</vt:lpstr>
      <vt:lpstr>_76h_F53</vt:lpstr>
      <vt:lpstr>_76h_F54</vt:lpstr>
      <vt:lpstr>_76h_F55</vt:lpstr>
      <vt:lpstr>_76h_F56</vt:lpstr>
      <vt:lpstr>_76h_F57</vt:lpstr>
      <vt:lpstr>_76h_F58</vt:lpstr>
      <vt:lpstr>_76h_F59</vt:lpstr>
      <vt:lpstr>_76h_F60</vt:lpstr>
      <vt:lpstr>_76h_F61</vt:lpstr>
      <vt:lpstr>_76h_F62</vt:lpstr>
      <vt:lpstr>_76h_F64</vt:lpstr>
      <vt:lpstr>_76h_F65</vt:lpstr>
      <vt:lpstr>_76h_F7</vt:lpstr>
      <vt:lpstr>_76h_F8</vt:lpstr>
      <vt:lpstr>_76h_F9</vt:lpstr>
      <vt:lpstr>_77h_E10</vt:lpstr>
      <vt:lpstr>_77h_E11</vt:lpstr>
      <vt:lpstr>_77h_E12</vt:lpstr>
      <vt:lpstr>_77h_E13</vt:lpstr>
      <vt:lpstr>_77h_E14</vt:lpstr>
      <vt:lpstr>_77h_E15</vt:lpstr>
      <vt:lpstr>_77h_E16</vt:lpstr>
      <vt:lpstr>_77h_E17</vt:lpstr>
      <vt:lpstr>_77h_E18</vt:lpstr>
      <vt:lpstr>_77h_E19</vt:lpstr>
      <vt:lpstr>_77h_E20</vt:lpstr>
      <vt:lpstr>_77h_E21</vt:lpstr>
      <vt:lpstr>_77h_E22</vt:lpstr>
      <vt:lpstr>_77h_E23</vt:lpstr>
      <vt:lpstr>_77h_E24</vt:lpstr>
      <vt:lpstr>_77h_E25</vt:lpstr>
      <vt:lpstr>_77h_E26</vt:lpstr>
      <vt:lpstr>_77h_E27</vt:lpstr>
      <vt:lpstr>_77h_E28</vt:lpstr>
      <vt:lpstr>_77h_E29</vt:lpstr>
      <vt:lpstr>_77h_E30</vt:lpstr>
      <vt:lpstr>_77h_E31</vt:lpstr>
      <vt:lpstr>_77h_E32</vt:lpstr>
      <vt:lpstr>_77h_E33</vt:lpstr>
      <vt:lpstr>_77h_E34</vt:lpstr>
      <vt:lpstr>_77h_E35</vt:lpstr>
      <vt:lpstr>_77h_E36</vt:lpstr>
      <vt:lpstr>_77h_E37</vt:lpstr>
      <vt:lpstr>_77h_E38</vt:lpstr>
      <vt:lpstr>_77h_E39</vt:lpstr>
      <vt:lpstr>_77h_E40</vt:lpstr>
      <vt:lpstr>_77h_E41</vt:lpstr>
      <vt:lpstr>_77h_E42</vt:lpstr>
      <vt:lpstr>_77h_E43</vt:lpstr>
      <vt:lpstr>_77h_E44</vt:lpstr>
      <vt:lpstr>_77h_E45</vt:lpstr>
      <vt:lpstr>_77h_E46</vt:lpstr>
      <vt:lpstr>_77h_E47</vt:lpstr>
      <vt:lpstr>_77h_E48</vt:lpstr>
      <vt:lpstr>_77h_E49</vt:lpstr>
      <vt:lpstr>_77h_E50</vt:lpstr>
      <vt:lpstr>_77h_E51</vt:lpstr>
      <vt:lpstr>_77h_E53</vt:lpstr>
      <vt:lpstr>_77h_E54</vt:lpstr>
      <vt:lpstr>_77h_E55</vt:lpstr>
      <vt:lpstr>_77h_E56</vt:lpstr>
      <vt:lpstr>_77h_E57</vt:lpstr>
      <vt:lpstr>_77h_E58</vt:lpstr>
      <vt:lpstr>_77h_E59</vt:lpstr>
      <vt:lpstr>_77h_E60</vt:lpstr>
      <vt:lpstr>_77h_E61</vt:lpstr>
      <vt:lpstr>_77h_E62</vt:lpstr>
      <vt:lpstr>_77h_E64</vt:lpstr>
      <vt:lpstr>_77h_E65</vt:lpstr>
      <vt:lpstr>_77h_E7</vt:lpstr>
      <vt:lpstr>_77h_E8</vt:lpstr>
      <vt:lpstr>_77h_E9</vt:lpstr>
      <vt:lpstr>_77h_F10</vt:lpstr>
      <vt:lpstr>_77h_F11</vt:lpstr>
      <vt:lpstr>_77h_F12</vt:lpstr>
      <vt:lpstr>_77h_F13</vt:lpstr>
      <vt:lpstr>_77h_F14</vt:lpstr>
      <vt:lpstr>_77h_F15</vt:lpstr>
      <vt:lpstr>_77h_F16</vt:lpstr>
      <vt:lpstr>_77h_F17</vt:lpstr>
      <vt:lpstr>_77h_F18</vt:lpstr>
      <vt:lpstr>_77h_F19</vt:lpstr>
      <vt:lpstr>_77h_F20</vt:lpstr>
      <vt:lpstr>_77h_F21</vt:lpstr>
      <vt:lpstr>_77h_F22</vt:lpstr>
      <vt:lpstr>_77h_F23</vt:lpstr>
      <vt:lpstr>_77h_F24</vt:lpstr>
      <vt:lpstr>_77h_F25</vt:lpstr>
      <vt:lpstr>_77h_F26</vt:lpstr>
      <vt:lpstr>_77h_F27</vt:lpstr>
      <vt:lpstr>_77h_F28</vt:lpstr>
      <vt:lpstr>_77h_F29</vt:lpstr>
      <vt:lpstr>_77h_F30</vt:lpstr>
      <vt:lpstr>_77h_F31</vt:lpstr>
      <vt:lpstr>_77h_F32</vt:lpstr>
      <vt:lpstr>_77h_F33</vt:lpstr>
      <vt:lpstr>_77h_F34</vt:lpstr>
      <vt:lpstr>_77h_F35</vt:lpstr>
      <vt:lpstr>_77h_F36</vt:lpstr>
      <vt:lpstr>_77h_F37</vt:lpstr>
      <vt:lpstr>_77h_F38</vt:lpstr>
      <vt:lpstr>_77h_F39</vt:lpstr>
      <vt:lpstr>_77h_F40</vt:lpstr>
      <vt:lpstr>_77h_F41</vt:lpstr>
      <vt:lpstr>_77h_F42</vt:lpstr>
      <vt:lpstr>_77h_F43</vt:lpstr>
      <vt:lpstr>_77h_F44</vt:lpstr>
      <vt:lpstr>_77h_F45</vt:lpstr>
      <vt:lpstr>_77h_F46</vt:lpstr>
      <vt:lpstr>_77h_F47</vt:lpstr>
      <vt:lpstr>_77h_F48</vt:lpstr>
      <vt:lpstr>_77h_F49</vt:lpstr>
      <vt:lpstr>_77h_F50</vt:lpstr>
      <vt:lpstr>_77h_F51</vt:lpstr>
      <vt:lpstr>_77h_F53</vt:lpstr>
      <vt:lpstr>_77h_F54</vt:lpstr>
      <vt:lpstr>_77h_F55</vt:lpstr>
      <vt:lpstr>_77h_F56</vt:lpstr>
      <vt:lpstr>_77h_F57</vt:lpstr>
      <vt:lpstr>_77h_F58</vt:lpstr>
      <vt:lpstr>_77h_F59</vt:lpstr>
      <vt:lpstr>_77h_F60</vt:lpstr>
      <vt:lpstr>_77h_F61</vt:lpstr>
      <vt:lpstr>_77h_F62</vt:lpstr>
      <vt:lpstr>_77h_F64</vt:lpstr>
      <vt:lpstr>_77h_F65</vt:lpstr>
      <vt:lpstr>_77h_F7</vt:lpstr>
      <vt:lpstr>_77h_F8</vt:lpstr>
      <vt:lpstr>_77h_F9</vt:lpstr>
      <vt:lpstr>_78h_E10</vt:lpstr>
      <vt:lpstr>_78h_E11</vt:lpstr>
      <vt:lpstr>_78h_E12</vt:lpstr>
      <vt:lpstr>_78h_E13</vt:lpstr>
      <vt:lpstr>_78h_E14</vt:lpstr>
      <vt:lpstr>_78h_E15</vt:lpstr>
      <vt:lpstr>_78h_E16</vt:lpstr>
      <vt:lpstr>_78h_E17</vt:lpstr>
      <vt:lpstr>_78h_E18</vt:lpstr>
      <vt:lpstr>_78h_E19</vt:lpstr>
      <vt:lpstr>_78h_E20</vt:lpstr>
      <vt:lpstr>_78h_E21</vt:lpstr>
      <vt:lpstr>_78h_E22</vt:lpstr>
      <vt:lpstr>_78h_E23</vt:lpstr>
      <vt:lpstr>_78h_E24</vt:lpstr>
      <vt:lpstr>_78h_E25</vt:lpstr>
      <vt:lpstr>_78h_E26</vt:lpstr>
      <vt:lpstr>_78h_E27</vt:lpstr>
      <vt:lpstr>_78h_E28</vt:lpstr>
      <vt:lpstr>_78h_E29</vt:lpstr>
      <vt:lpstr>_78h_E30</vt:lpstr>
      <vt:lpstr>_78h_E31</vt:lpstr>
      <vt:lpstr>_78h_E32</vt:lpstr>
      <vt:lpstr>_78h_E33</vt:lpstr>
      <vt:lpstr>_78h_E34</vt:lpstr>
      <vt:lpstr>_78h_E35</vt:lpstr>
      <vt:lpstr>_78h_E36</vt:lpstr>
      <vt:lpstr>_78h_E37</vt:lpstr>
      <vt:lpstr>_78h_E38</vt:lpstr>
      <vt:lpstr>_78h_E39</vt:lpstr>
      <vt:lpstr>_78h_E40</vt:lpstr>
      <vt:lpstr>_78h_E41</vt:lpstr>
      <vt:lpstr>_78h_E42</vt:lpstr>
      <vt:lpstr>_78h_E43</vt:lpstr>
      <vt:lpstr>_78h_E44</vt:lpstr>
      <vt:lpstr>_78h_E45</vt:lpstr>
      <vt:lpstr>_78h_E46</vt:lpstr>
      <vt:lpstr>_78h_E47</vt:lpstr>
      <vt:lpstr>_78h_E48</vt:lpstr>
      <vt:lpstr>_78h_E49</vt:lpstr>
      <vt:lpstr>_78h_E50</vt:lpstr>
      <vt:lpstr>_78h_E51</vt:lpstr>
      <vt:lpstr>_78h_E53</vt:lpstr>
      <vt:lpstr>_78h_E54</vt:lpstr>
      <vt:lpstr>_78h_E55</vt:lpstr>
      <vt:lpstr>_78h_E56</vt:lpstr>
      <vt:lpstr>_78h_E57</vt:lpstr>
      <vt:lpstr>_78h_E58</vt:lpstr>
      <vt:lpstr>_78h_E59</vt:lpstr>
      <vt:lpstr>_78h_E60</vt:lpstr>
      <vt:lpstr>_78h_E61</vt:lpstr>
      <vt:lpstr>_78h_E62</vt:lpstr>
      <vt:lpstr>_78h_E64</vt:lpstr>
      <vt:lpstr>_78h_E65</vt:lpstr>
      <vt:lpstr>_78h_E7</vt:lpstr>
      <vt:lpstr>_78h_E8</vt:lpstr>
      <vt:lpstr>_78h_E9</vt:lpstr>
      <vt:lpstr>_78h_F10</vt:lpstr>
      <vt:lpstr>_78h_F11</vt:lpstr>
      <vt:lpstr>_78h_F12</vt:lpstr>
      <vt:lpstr>_78h_F13</vt:lpstr>
      <vt:lpstr>_78h_F14</vt:lpstr>
      <vt:lpstr>_78h_F15</vt:lpstr>
      <vt:lpstr>_78h_F16</vt:lpstr>
      <vt:lpstr>_78h_F17</vt:lpstr>
      <vt:lpstr>_78h_F18</vt:lpstr>
      <vt:lpstr>_78h_F19</vt:lpstr>
      <vt:lpstr>_78h_F20</vt:lpstr>
      <vt:lpstr>_78h_F21</vt:lpstr>
      <vt:lpstr>_78h_F22</vt:lpstr>
      <vt:lpstr>_78h_F23</vt:lpstr>
      <vt:lpstr>_78h_F24</vt:lpstr>
      <vt:lpstr>_78h_F25</vt:lpstr>
      <vt:lpstr>_78h_F26</vt:lpstr>
      <vt:lpstr>_78h_F27</vt:lpstr>
      <vt:lpstr>_78h_F28</vt:lpstr>
      <vt:lpstr>_78h_F29</vt:lpstr>
      <vt:lpstr>_78h_F30</vt:lpstr>
      <vt:lpstr>_78h_F31</vt:lpstr>
      <vt:lpstr>_78h_F32</vt:lpstr>
      <vt:lpstr>_78h_F33</vt:lpstr>
      <vt:lpstr>_78h_F34</vt:lpstr>
      <vt:lpstr>_78h_F35</vt:lpstr>
      <vt:lpstr>_78h_F36</vt:lpstr>
      <vt:lpstr>_78h_F37</vt:lpstr>
      <vt:lpstr>_78h_F38</vt:lpstr>
      <vt:lpstr>_78h_F39</vt:lpstr>
      <vt:lpstr>_78h_F40</vt:lpstr>
      <vt:lpstr>_78h_F41</vt:lpstr>
      <vt:lpstr>_78h_F42</vt:lpstr>
      <vt:lpstr>_78h_F43</vt:lpstr>
      <vt:lpstr>_78h_F44</vt:lpstr>
      <vt:lpstr>_78h_F45</vt:lpstr>
      <vt:lpstr>_78h_F46</vt:lpstr>
      <vt:lpstr>_78h_F47</vt:lpstr>
      <vt:lpstr>_78h_F48</vt:lpstr>
      <vt:lpstr>_78h_F49</vt:lpstr>
      <vt:lpstr>_78h_F50</vt:lpstr>
      <vt:lpstr>_78h_F51</vt:lpstr>
      <vt:lpstr>_78h_F53</vt:lpstr>
      <vt:lpstr>_78h_F54</vt:lpstr>
      <vt:lpstr>_78h_F55</vt:lpstr>
      <vt:lpstr>_78h_F56</vt:lpstr>
      <vt:lpstr>_78h_F57</vt:lpstr>
      <vt:lpstr>_78h_F58</vt:lpstr>
      <vt:lpstr>_78h_F59</vt:lpstr>
      <vt:lpstr>_78h_F60</vt:lpstr>
      <vt:lpstr>_78h_F61</vt:lpstr>
      <vt:lpstr>_78h_F62</vt:lpstr>
      <vt:lpstr>_78h_F64</vt:lpstr>
      <vt:lpstr>_78h_F65</vt:lpstr>
      <vt:lpstr>_78h_F7</vt:lpstr>
      <vt:lpstr>_78h_F8</vt:lpstr>
      <vt:lpstr>_78h_F9</vt:lpstr>
      <vt:lpstr>_79h_E10</vt:lpstr>
      <vt:lpstr>_79h_E11</vt:lpstr>
      <vt:lpstr>_79h_E12</vt:lpstr>
      <vt:lpstr>_79h_E13</vt:lpstr>
      <vt:lpstr>_79h_E14</vt:lpstr>
      <vt:lpstr>_79h_E15</vt:lpstr>
      <vt:lpstr>_79h_E16</vt:lpstr>
      <vt:lpstr>_79h_E17</vt:lpstr>
      <vt:lpstr>_79h_E18</vt:lpstr>
      <vt:lpstr>_79h_E19</vt:lpstr>
      <vt:lpstr>_79h_E20</vt:lpstr>
      <vt:lpstr>_79h_E21</vt:lpstr>
      <vt:lpstr>_79h_E22</vt:lpstr>
      <vt:lpstr>_79h_E23</vt:lpstr>
      <vt:lpstr>_79h_E24</vt:lpstr>
      <vt:lpstr>_79h_E25</vt:lpstr>
      <vt:lpstr>_79h_E26</vt:lpstr>
      <vt:lpstr>_79h_E27</vt:lpstr>
      <vt:lpstr>_79h_E28</vt:lpstr>
      <vt:lpstr>_79h_E29</vt:lpstr>
      <vt:lpstr>_79h_E30</vt:lpstr>
      <vt:lpstr>_79h_E31</vt:lpstr>
      <vt:lpstr>_79h_E32</vt:lpstr>
      <vt:lpstr>_79h_E33</vt:lpstr>
      <vt:lpstr>_79h_E34</vt:lpstr>
      <vt:lpstr>_79h_E35</vt:lpstr>
      <vt:lpstr>_79h_E36</vt:lpstr>
      <vt:lpstr>_79h_E37</vt:lpstr>
      <vt:lpstr>_79h_E38</vt:lpstr>
      <vt:lpstr>_79h_E39</vt:lpstr>
      <vt:lpstr>_79h_E40</vt:lpstr>
      <vt:lpstr>_79h_E41</vt:lpstr>
      <vt:lpstr>_79h_E42</vt:lpstr>
      <vt:lpstr>_79h_E43</vt:lpstr>
      <vt:lpstr>_79h_E44</vt:lpstr>
      <vt:lpstr>_79h_E45</vt:lpstr>
      <vt:lpstr>_79h_E46</vt:lpstr>
      <vt:lpstr>_79h_E47</vt:lpstr>
      <vt:lpstr>_79h_E48</vt:lpstr>
      <vt:lpstr>_79h_E49</vt:lpstr>
      <vt:lpstr>_79h_E50</vt:lpstr>
      <vt:lpstr>_79h_E51</vt:lpstr>
      <vt:lpstr>_79h_E53</vt:lpstr>
      <vt:lpstr>_79h_E54</vt:lpstr>
      <vt:lpstr>_79h_E55</vt:lpstr>
      <vt:lpstr>_79h_E56</vt:lpstr>
      <vt:lpstr>_79h_E57</vt:lpstr>
      <vt:lpstr>_79h_E58</vt:lpstr>
      <vt:lpstr>_79h_E59</vt:lpstr>
      <vt:lpstr>_79h_E60</vt:lpstr>
      <vt:lpstr>_79h_E61</vt:lpstr>
      <vt:lpstr>_79h_E62</vt:lpstr>
      <vt:lpstr>_79h_E64</vt:lpstr>
      <vt:lpstr>_79h_E65</vt:lpstr>
      <vt:lpstr>_79h_E7</vt:lpstr>
      <vt:lpstr>_79h_E8</vt:lpstr>
      <vt:lpstr>_79h_E9</vt:lpstr>
      <vt:lpstr>_79h_F10</vt:lpstr>
      <vt:lpstr>_79h_F11</vt:lpstr>
      <vt:lpstr>_79h_F12</vt:lpstr>
      <vt:lpstr>_79h_F13</vt:lpstr>
      <vt:lpstr>_79h_F14</vt:lpstr>
      <vt:lpstr>_79h_F15</vt:lpstr>
      <vt:lpstr>_79h_F16</vt:lpstr>
      <vt:lpstr>_79h_F17</vt:lpstr>
      <vt:lpstr>_79h_F18</vt:lpstr>
      <vt:lpstr>_79h_F19</vt:lpstr>
      <vt:lpstr>_79h_F20</vt:lpstr>
      <vt:lpstr>_79h_F21</vt:lpstr>
      <vt:lpstr>_79h_F22</vt:lpstr>
      <vt:lpstr>_79h_F23</vt:lpstr>
      <vt:lpstr>_79h_F24</vt:lpstr>
      <vt:lpstr>_79h_F25</vt:lpstr>
      <vt:lpstr>_79h_F26</vt:lpstr>
      <vt:lpstr>_79h_F27</vt:lpstr>
      <vt:lpstr>_79h_F28</vt:lpstr>
      <vt:lpstr>_79h_F29</vt:lpstr>
      <vt:lpstr>_79h_F30</vt:lpstr>
      <vt:lpstr>_79h_F31</vt:lpstr>
      <vt:lpstr>_79h_F32</vt:lpstr>
      <vt:lpstr>_79h_F33</vt:lpstr>
      <vt:lpstr>_79h_F34</vt:lpstr>
      <vt:lpstr>_79h_F35</vt:lpstr>
      <vt:lpstr>_79h_F36</vt:lpstr>
      <vt:lpstr>_79h_F37</vt:lpstr>
      <vt:lpstr>_79h_F38</vt:lpstr>
      <vt:lpstr>_79h_F39</vt:lpstr>
      <vt:lpstr>_79h_F40</vt:lpstr>
      <vt:lpstr>_79h_F41</vt:lpstr>
      <vt:lpstr>_79h_F42</vt:lpstr>
      <vt:lpstr>_79h_F43</vt:lpstr>
      <vt:lpstr>_79h_F44</vt:lpstr>
      <vt:lpstr>_79h_F45</vt:lpstr>
      <vt:lpstr>_79h_F46</vt:lpstr>
      <vt:lpstr>_79h_F47</vt:lpstr>
      <vt:lpstr>_79h_F48</vt:lpstr>
      <vt:lpstr>_79h_F49</vt:lpstr>
      <vt:lpstr>_79h_F50</vt:lpstr>
      <vt:lpstr>_79h_F51</vt:lpstr>
      <vt:lpstr>_79h_F53</vt:lpstr>
      <vt:lpstr>_79h_F54</vt:lpstr>
      <vt:lpstr>_79h_F55</vt:lpstr>
      <vt:lpstr>_79h_F56</vt:lpstr>
      <vt:lpstr>_79h_F57</vt:lpstr>
      <vt:lpstr>_79h_F58</vt:lpstr>
      <vt:lpstr>_79h_F59</vt:lpstr>
      <vt:lpstr>_79h_F60</vt:lpstr>
      <vt:lpstr>_79h_F61</vt:lpstr>
      <vt:lpstr>_79h_F62</vt:lpstr>
      <vt:lpstr>_79h_F64</vt:lpstr>
      <vt:lpstr>_79h_F65</vt:lpstr>
      <vt:lpstr>_79h_F7</vt:lpstr>
      <vt:lpstr>_79h_F8</vt:lpstr>
      <vt:lpstr>_79h_F9</vt:lpstr>
      <vt:lpstr>_7h_E10</vt:lpstr>
      <vt:lpstr>_7h_E11</vt:lpstr>
      <vt:lpstr>_7h_E12</vt:lpstr>
      <vt:lpstr>_7h_E13</vt:lpstr>
      <vt:lpstr>_7h_E14</vt:lpstr>
      <vt:lpstr>_7h_E15</vt:lpstr>
      <vt:lpstr>_7h_E16</vt:lpstr>
      <vt:lpstr>_7h_E17</vt:lpstr>
      <vt:lpstr>_7h_E18</vt:lpstr>
      <vt:lpstr>_7h_E19</vt:lpstr>
      <vt:lpstr>_7h_E20</vt:lpstr>
      <vt:lpstr>_7h_E21</vt:lpstr>
      <vt:lpstr>_7h_E22</vt:lpstr>
      <vt:lpstr>_7h_E23</vt:lpstr>
      <vt:lpstr>_7h_E24</vt:lpstr>
      <vt:lpstr>_7h_E25</vt:lpstr>
      <vt:lpstr>_7h_E26</vt:lpstr>
      <vt:lpstr>_7h_E27</vt:lpstr>
      <vt:lpstr>_7h_E28</vt:lpstr>
      <vt:lpstr>_7h_E29</vt:lpstr>
      <vt:lpstr>_7h_E30</vt:lpstr>
      <vt:lpstr>_7h_E31</vt:lpstr>
      <vt:lpstr>_7h_E32</vt:lpstr>
      <vt:lpstr>_7h_E33</vt:lpstr>
      <vt:lpstr>_7h_E34</vt:lpstr>
      <vt:lpstr>_7h_E35</vt:lpstr>
      <vt:lpstr>_7h_E36</vt:lpstr>
      <vt:lpstr>_7h_E37</vt:lpstr>
      <vt:lpstr>_7h_E38</vt:lpstr>
      <vt:lpstr>_7h_E39</vt:lpstr>
      <vt:lpstr>_7h_E40</vt:lpstr>
      <vt:lpstr>_7h_E41</vt:lpstr>
      <vt:lpstr>_7h_E42</vt:lpstr>
      <vt:lpstr>_7h_E43</vt:lpstr>
      <vt:lpstr>_7h_E44</vt:lpstr>
      <vt:lpstr>_7h_E45</vt:lpstr>
      <vt:lpstr>_7h_E46</vt:lpstr>
      <vt:lpstr>_7h_E47</vt:lpstr>
      <vt:lpstr>_7h_E48</vt:lpstr>
      <vt:lpstr>_7h_E49</vt:lpstr>
      <vt:lpstr>_7h_E50</vt:lpstr>
      <vt:lpstr>_7h_E51</vt:lpstr>
      <vt:lpstr>_7h_E53</vt:lpstr>
      <vt:lpstr>_7h_E54</vt:lpstr>
      <vt:lpstr>_7h_E55</vt:lpstr>
      <vt:lpstr>_7h_E56</vt:lpstr>
      <vt:lpstr>_7h_E57</vt:lpstr>
      <vt:lpstr>_7h_E58</vt:lpstr>
      <vt:lpstr>_7h_E59</vt:lpstr>
      <vt:lpstr>_7h_E60</vt:lpstr>
      <vt:lpstr>_7h_E61</vt:lpstr>
      <vt:lpstr>_7h_E62</vt:lpstr>
      <vt:lpstr>_7h_E64</vt:lpstr>
      <vt:lpstr>_7h_E65</vt:lpstr>
      <vt:lpstr>_7h_E7</vt:lpstr>
      <vt:lpstr>_7h_E8</vt:lpstr>
      <vt:lpstr>_7h_E9</vt:lpstr>
      <vt:lpstr>_7h_F10</vt:lpstr>
      <vt:lpstr>_7h_F11</vt:lpstr>
      <vt:lpstr>_7h_F12</vt:lpstr>
      <vt:lpstr>_7h_F13</vt:lpstr>
      <vt:lpstr>_7h_F14</vt:lpstr>
      <vt:lpstr>_7h_F15</vt:lpstr>
      <vt:lpstr>_7h_F16</vt:lpstr>
      <vt:lpstr>_7h_F17</vt:lpstr>
      <vt:lpstr>_7h_F18</vt:lpstr>
      <vt:lpstr>_7h_F19</vt:lpstr>
      <vt:lpstr>_7h_F20</vt:lpstr>
      <vt:lpstr>_7h_F21</vt:lpstr>
      <vt:lpstr>_7h_F22</vt:lpstr>
      <vt:lpstr>_7h_F23</vt:lpstr>
      <vt:lpstr>_7h_F24</vt:lpstr>
      <vt:lpstr>_7h_F25</vt:lpstr>
      <vt:lpstr>_7h_F26</vt:lpstr>
      <vt:lpstr>_7h_F27</vt:lpstr>
      <vt:lpstr>_7h_F28</vt:lpstr>
      <vt:lpstr>_7h_F29</vt:lpstr>
      <vt:lpstr>_7h_F30</vt:lpstr>
      <vt:lpstr>_7h_F31</vt:lpstr>
      <vt:lpstr>_7h_F32</vt:lpstr>
      <vt:lpstr>_7h_F33</vt:lpstr>
      <vt:lpstr>_7h_F34</vt:lpstr>
      <vt:lpstr>_7h_F35</vt:lpstr>
      <vt:lpstr>_7h_F36</vt:lpstr>
      <vt:lpstr>_7h_F37</vt:lpstr>
      <vt:lpstr>_7h_F38</vt:lpstr>
      <vt:lpstr>_7h_F39</vt:lpstr>
      <vt:lpstr>_7h_F40</vt:lpstr>
      <vt:lpstr>_7h_F41</vt:lpstr>
      <vt:lpstr>_7h_F42</vt:lpstr>
      <vt:lpstr>_7h_F43</vt:lpstr>
      <vt:lpstr>_7h_F44</vt:lpstr>
      <vt:lpstr>_7h_F45</vt:lpstr>
      <vt:lpstr>_7h_F46</vt:lpstr>
      <vt:lpstr>_7h_F47</vt:lpstr>
      <vt:lpstr>_7h_F48</vt:lpstr>
      <vt:lpstr>_7h_F49</vt:lpstr>
      <vt:lpstr>_7h_F50</vt:lpstr>
      <vt:lpstr>_7h_F51</vt:lpstr>
      <vt:lpstr>_7h_F53</vt:lpstr>
      <vt:lpstr>_7h_F54</vt:lpstr>
      <vt:lpstr>_7h_F55</vt:lpstr>
      <vt:lpstr>_7h_F56</vt:lpstr>
      <vt:lpstr>_7h_F57</vt:lpstr>
      <vt:lpstr>_7h_F58</vt:lpstr>
      <vt:lpstr>_7h_F59</vt:lpstr>
      <vt:lpstr>_7h_F60</vt:lpstr>
      <vt:lpstr>_7h_F61</vt:lpstr>
      <vt:lpstr>_7h_F62</vt:lpstr>
      <vt:lpstr>_7h_F64</vt:lpstr>
      <vt:lpstr>_7h_F65</vt:lpstr>
      <vt:lpstr>_7h_F7</vt:lpstr>
      <vt:lpstr>_7h_F8</vt:lpstr>
      <vt:lpstr>_7h_F9</vt:lpstr>
      <vt:lpstr>_80h_E10</vt:lpstr>
      <vt:lpstr>_80h_E11</vt:lpstr>
      <vt:lpstr>_80h_E12</vt:lpstr>
      <vt:lpstr>_80h_E13</vt:lpstr>
      <vt:lpstr>_80h_E14</vt:lpstr>
      <vt:lpstr>_80h_E15</vt:lpstr>
      <vt:lpstr>_80h_E16</vt:lpstr>
      <vt:lpstr>_80h_E17</vt:lpstr>
      <vt:lpstr>_80h_E18</vt:lpstr>
      <vt:lpstr>_80h_E19</vt:lpstr>
      <vt:lpstr>_80h_E20</vt:lpstr>
      <vt:lpstr>_80h_E21</vt:lpstr>
      <vt:lpstr>_80h_E22</vt:lpstr>
      <vt:lpstr>_80h_E23</vt:lpstr>
      <vt:lpstr>_80h_E24</vt:lpstr>
      <vt:lpstr>_80h_E25</vt:lpstr>
      <vt:lpstr>_80h_E26</vt:lpstr>
      <vt:lpstr>_80h_E27</vt:lpstr>
      <vt:lpstr>_80h_E28</vt:lpstr>
      <vt:lpstr>_80h_E29</vt:lpstr>
      <vt:lpstr>_80h_E30</vt:lpstr>
      <vt:lpstr>_80h_E31</vt:lpstr>
      <vt:lpstr>_80h_E32</vt:lpstr>
      <vt:lpstr>_80h_E33</vt:lpstr>
      <vt:lpstr>_80h_E34</vt:lpstr>
      <vt:lpstr>_80h_E35</vt:lpstr>
      <vt:lpstr>_80h_E36</vt:lpstr>
      <vt:lpstr>_80h_E37</vt:lpstr>
      <vt:lpstr>_80h_E38</vt:lpstr>
      <vt:lpstr>_80h_E39</vt:lpstr>
      <vt:lpstr>_80h_E40</vt:lpstr>
      <vt:lpstr>_80h_E41</vt:lpstr>
      <vt:lpstr>_80h_E42</vt:lpstr>
      <vt:lpstr>_80h_E43</vt:lpstr>
      <vt:lpstr>_80h_E44</vt:lpstr>
      <vt:lpstr>_80h_E45</vt:lpstr>
      <vt:lpstr>_80h_E46</vt:lpstr>
      <vt:lpstr>_80h_E47</vt:lpstr>
      <vt:lpstr>_80h_E48</vt:lpstr>
      <vt:lpstr>_80h_E49</vt:lpstr>
      <vt:lpstr>_80h_E50</vt:lpstr>
      <vt:lpstr>_80h_E51</vt:lpstr>
      <vt:lpstr>_80h_E53</vt:lpstr>
      <vt:lpstr>_80h_E54</vt:lpstr>
      <vt:lpstr>_80h_E55</vt:lpstr>
      <vt:lpstr>_80h_E56</vt:lpstr>
      <vt:lpstr>_80h_E57</vt:lpstr>
      <vt:lpstr>_80h_E58</vt:lpstr>
      <vt:lpstr>_80h_E59</vt:lpstr>
      <vt:lpstr>_80h_E60</vt:lpstr>
      <vt:lpstr>_80h_E61</vt:lpstr>
      <vt:lpstr>_80h_E62</vt:lpstr>
      <vt:lpstr>_80h_E64</vt:lpstr>
      <vt:lpstr>_80h_E65</vt:lpstr>
      <vt:lpstr>_80h_E7</vt:lpstr>
      <vt:lpstr>_80h_E8</vt:lpstr>
      <vt:lpstr>_80h_E9</vt:lpstr>
      <vt:lpstr>_80h_F10</vt:lpstr>
      <vt:lpstr>_80h_F11</vt:lpstr>
      <vt:lpstr>_80h_F12</vt:lpstr>
      <vt:lpstr>_80h_F13</vt:lpstr>
      <vt:lpstr>_80h_F14</vt:lpstr>
      <vt:lpstr>_80h_F15</vt:lpstr>
      <vt:lpstr>_80h_F16</vt:lpstr>
      <vt:lpstr>_80h_F17</vt:lpstr>
      <vt:lpstr>_80h_F18</vt:lpstr>
      <vt:lpstr>_80h_F19</vt:lpstr>
      <vt:lpstr>_80h_F20</vt:lpstr>
      <vt:lpstr>_80h_F21</vt:lpstr>
      <vt:lpstr>_80h_F22</vt:lpstr>
      <vt:lpstr>_80h_F23</vt:lpstr>
      <vt:lpstr>_80h_F24</vt:lpstr>
      <vt:lpstr>_80h_F25</vt:lpstr>
      <vt:lpstr>_80h_F26</vt:lpstr>
      <vt:lpstr>_80h_F27</vt:lpstr>
      <vt:lpstr>_80h_F28</vt:lpstr>
      <vt:lpstr>_80h_F29</vt:lpstr>
      <vt:lpstr>_80h_F30</vt:lpstr>
      <vt:lpstr>_80h_F31</vt:lpstr>
      <vt:lpstr>_80h_F32</vt:lpstr>
      <vt:lpstr>_80h_F33</vt:lpstr>
      <vt:lpstr>_80h_F34</vt:lpstr>
      <vt:lpstr>_80h_F35</vt:lpstr>
      <vt:lpstr>_80h_F36</vt:lpstr>
      <vt:lpstr>_80h_F37</vt:lpstr>
      <vt:lpstr>_80h_F38</vt:lpstr>
      <vt:lpstr>_80h_F39</vt:lpstr>
      <vt:lpstr>_80h_F40</vt:lpstr>
      <vt:lpstr>_80h_F41</vt:lpstr>
      <vt:lpstr>_80h_F42</vt:lpstr>
      <vt:lpstr>_80h_F43</vt:lpstr>
      <vt:lpstr>_80h_F44</vt:lpstr>
      <vt:lpstr>_80h_F45</vt:lpstr>
      <vt:lpstr>_80h_F46</vt:lpstr>
      <vt:lpstr>_80h_F47</vt:lpstr>
      <vt:lpstr>_80h_F48</vt:lpstr>
      <vt:lpstr>_80h_F49</vt:lpstr>
      <vt:lpstr>_80h_F50</vt:lpstr>
      <vt:lpstr>_80h_F51</vt:lpstr>
      <vt:lpstr>_80h_F53</vt:lpstr>
      <vt:lpstr>_80h_F54</vt:lpstr>
      <vt:lpstr>_80h_F55</vt:lpstr>
      <vt:lpstr>_80h_F56</vt:lpstr>
      <vt:lpstr>_80h_F57</vt:lpstr>
      <vt:lpstr>_80h_F58</vt:lpstr>
      <vt:lpstr>_80h_F59</vt:lpstr>
      <vt:lpstr>_80h_F60</vt:lpstr>
      <vt:lpstr>_80h_F61</vt:lpstr>
      <vt:lpstr>_80h_F62</vt:lpstr>
      <vt:lpstr>_80h_F64</vt:lpstr>
      <vt:lpstr>_80h_F65</vt:lpstr>
      <vt:lpstr>_80h_F7</vt:lpstr>
      <vt:lpstr>_80h_F8</vt:lpstr>
      <vt:lpstr>_80h_F9</vt:lpstr>
      <vt:lpstr>_81h_E10</vt:lpstr>
      <vt:lpstr>_81h_E11</vt:lpstr>
      <vt:lpstr>_81h_E12</vt:lpstr>
      <vt:lpstr>_81h_E13</vt:lpstr>
      <vt:lpstr>_81h_E14</vt:lpstr>
      <vt:lpstr>_81h_E15</vt:lpstr>
      <vt:lpstr>_81h_E16</vt:lpstr>
      <vt:lpstr>_81h_E17</vt:lpstr>
      <vt:lpstr>_81h_E18</vt:lpstr>
      <vt:lpstr>_81h_E19</vt:lpstr>
      <vt:lpstr>_81h_E20</vt:lpstr>
      <vt:lpstr>_81h_E21</vt:lpstr>
      <vt:lpstr>_81h_E22</vt:lpstr>
      <vt:lpstr>_81h_E23</vt:lpstr>
      <vt:lpstr>_81h_E24</vt:lpstr>
      <vt:lpstr>_81h_E25</vt:lpstr>
      <vt:lpstr>_81h_E26</vt:lpstr>
      <vt:lpstr>_81h_E27</vt:lpstr>
      <vt:lpstr>_81h_E28</vt:lpstr>
      <vt:lpstr>_81h_E29</vt:lpstr>
      <vt:lpstr>_81h_E30</vt:lpstr>
      <vt:lpstr>_81h_E31</vt:lpstr>
      <vt:lpstr>_81h_E32</vt:lpstr>
      <vt:lpstr>_81h_E33</vt:lpstr>
      <vt:lpstr>_81h_E34</vt:lpstr>
      <vt:lpstr>_81h_E35</vt:lpstr>
      <vt:lpstr>_81h_E36</vt:lpstr>
      <vt:lpstr>_81h_E37</vt:lpstr>
      <vt:lpstr>_81h_E38</vt:lpstr>
      <vt:lpstr>_81h_E39</vt:lpstr>
      <vt:lpstr>_81h_E40</vt:lpstr>
      <vt:lpstr>_81h_E41</vt:lpstr>
      <vt:lpstr>_81h_E42</vt:lpstr>
      <vt:lpstr>_81h_E43</vt:lpstr>
      <vt:lpstr>_81h_E44</vt:lpstr>
      <vt:lpstr>_81h_E45</vt:lpstr>
      <vt:lpstr>_81h_E46</vt:lpstr>
      <vt:lpstr>_81h_E47</vt:lpstr>
      <vt:lpstr>_81h_E48</vt:lpstr>
      <vt:lpstr>_81h_E49</vt:lpstr>
      <vt:lpstr>_81h_E50</vt:lpstr>
      <vt:lpstr>_81h_E51</vt:lpstr>
      <vt:lpstr>_81h_E53</vt:lpstr>
      <vt:lpstr>_81h_E54</vt:lpstr>
      <vt:lpstr>_81h_E55</vt:lpstr>
      <vt:lpstr>_81h_E56</vt:lpstr>
      <vt:lpstr>_81h_E57</vt:lpstr>
      <vt:lpstr>_81h_E58</vt:lpstr>
      <vt:lpstr>_81h_E59</vt:lpstr>
      <vt:lpstr>_81h_E60</vt:lpstr>
      <vt:lpstr>_81h_E61</vt:lpstr>
      <vt:lpstr>_81h_E62</vt:lpstr>
      <vt:lpstr>_81h_E64</vt:lpstr>
      <vt:lpstr>_81h_E65</vt:lpstr>
      <vt:lpstr>_81h_E7</vt:lpstr>
      <vt:lpstr>_81h_E8</vt:lpstr>
      <vt:lpstr>_81h_E9</vt:lpstr>
      <vt:lpstr>_81h_F10</vt:lpstr>
      <vt:lpstr>_81h_F11</vt:lpstr>
      <vt:lpstr>_81h_F12</vt:lpstr>
      <vt:lpstr>_81h_F13</vt:lpstr>
      <vt:lpstr>_81h_F14</vt:lpstr>
      <vt:lpstr>_81h_F15</vt:lpstr>
      <vt:lpstr>_81h_F16</vt:lpstr>
      <vt:lpstr>_81h_F17</vt:lpstr>
      <vt:lpstr>_81h_F18</vt:lpstr>
      <vt:lpstr>_81h_F19</vt:lpstr>
      <vt:lpstr>_81h_F20</vt:lpstr>
      <vt:lpstr>_81h_F21</vt:lpstr>
      <vt:lpstr>_81h_F22</vt:lpstr>
      <vt:lpstr>_81h_F23</vt:lpstr>
      <vt:lpstr>_81h_F24</vt:lpstr>
      <vt:lpstr>_81h_F25</vt:lpstr>
      <vt:lpstr>_81h_F26</vt:lpstr>
      <vt:lpstr>_81h_F27</vt:lpstr>
      <vt:lpstr>_81h_F28</vt:lpstr>
      <vt:lpstr>_81h_F29</vt:lpstr>
      <vt:lpstr>_81h_F30</vt:lpstr>
      <vt:lpstr>_81h_F31</vt:lpstr>
      <vt:lpstr>_81h_F32</vt:lpstr>
      <vt:lpstr>_81h_F33</vt:lpstr>
      <vt:lpstr>_81h_F34</vt:lpstr>
      <vt:lpstr>_81h_F35</vt:lpstr>
      <vt:lpstr>_81h_F36</vt:lpstr>
      <vt:lpstr>_81h_F37</vt:lpstr>
      <vt:lpstr>_81h_F38</vt:lpstr>
      <vt:lpstr>_81h_F39</vt:lpstr>
      <vt:lpstr>_81h_F40</vt:lpstr>
      <vt:lpstr>_81h_F41</vt:lpstr>
      <vt:lpstr>_81h_F42</vt:lpstr>
      <vt:lpstr>_81h_F43</vt:lpstr>
      <vt:lpstr>_81h_F44</vt:lpstr>
      <vt:lpstr>_81h_F45</vt:lpstr>
      <vt:lpstr>_81h_F46</vt:lpstr>
      <vt:lpstr>_81h_F47</vt:lpstr>
      <vt:lpstr>_81h_F48</vt:lpstr>
      <vt:lpstr>_81h_F49</vt:lpstr>
      <vt:lpstr>_81h_F50</vt:lpstr>
      <vt:lpstr>_81h_F51</vt:lpstr>
      <vt:lpstr>_81h_F53</vt:lpstr>
      <vt:lpstr>_81h_F54</vt:lpstr>
      <vt:lpstr>_81h_F55</vt:lpstr>
      <vt:lpstr>_81h_F56</vt:lpstr>
      <vt:lpstr>_81h_F57</vt:lpstr>
      <vt:lpstr>_81h_F58</vt:lpstr>
      <vt:lpstr>_81h_F59</vt:lpstr>
      <vt:lpstr>_81h_F60</vt:lpstr>
      <vt:lpstr>_81h_F61</vt:lpstr>
      <vt:lpstr>_81h_F62</vt:lpstr>
      <vt:lpstr>_81h_F64</vt:lpstr>
      <vt:lpstr>_81h_F65</vt:lpstr>
      <vt:lpstr>_81h_F7</vt:lpstr>
      <vt:lpstr>_81h_F8</vt:lpstr>
      <vt:lpstr>_81h_F9</vt:lpstr>
      <vt:lpstr>_82h_E10</vt:lpstr>
      <vt:lpstr>_82h_E11</vt:lpstr>
      <vt:lpstr>_82h_E12</vt:lpstr>
      <vt:lpstr>_82h_E13</vt:lpstr>
      <vt:lpstr>_82h_E14</vt:lpstr>
      <vt:lpstr>_82h_E15</vt:lpstr>
      <vt:lpstr>_82h_E16</vt:lpstr>
      <vt:lpstr>_82h_E17</vt:lpstr>
      <vt:lpstr>_82h_E18</vt:lpstr>
      <vt:lpstr>_82h_E19</vt:lpstr>
      <vt:lpstr>_82h_E20</vt:lpstr>
      <vt:lpstr>_82h_E21</vt:lpstr>
      <vt:lpstr>_82h_E22</vt:lpstr>
      <vt:lpstr>_82h_E23</vt:lpstr>
      <vt:lpstr>_82h_E24</vt:lpstr>
      <vt:lpstr>_82h_E25</vt:lpstr>
      <vt:lpstr>_82h_E26</vt:lpstr>
      <vt:lpstr>_82h_E27</vt:lpstr>
      <vt:lpstr>_82h_E28</vt:lpstr>
      <vt:lpstr>_82h_E29</vt:lpstr>
      <vt:lpstr>_82h_E30</vt:lpstr>
      <vt:lpstr>_82h_E31</vt:lpstr>
      <vt:lpstr>_82h_E32</vt:lpstr>
      <vt:lpstr>_82h_E33</vt:lpstr>
      <vt:lpstr>_82h_E34</vt:lpstr>
      <vt:lpstr>_82h_E35</vt:lpstr>
      <vt:lpstr>_82h_E36</vt:lpstr>
      <vt:lpstr>_82h_E37</vt:lpstr>
      <vt:lpstr>_82h_E38</vt:lpstr>
      <vt:lpstr>_82h_E39</vt:lpstr>
      <vt:lpstr>_82h_E40</vt:lpstr>
      <vt:lpstr>_82h_E41</vt:lpstr>
      <vt:lpstr>_82h_E42</vt:lpstr>
      <vt:lpstr>_82h_E43</vt:lpstr>
      <vt:lpstr>_82h_E44</vt:lpstr>
      <vt:lpstr>_82h_E45</vt:lpstr>
      <vt:lpstr>_82h_E46</vt:lpstr>
      <vt:lpstr>_82h_E47</vt:lpstr>
      <vt:lpstr>_82h_E48</vt:lpstr>
      <vt:lpstr>_82h_E49</vt:lpstr>
      <vt:lpstr>_82h_E50</vt:lpstr>
      <vt:lpstr>_82h_E51</vt:lpstr>
      <vt:lpstr>_82h_E53</vt:lpstr>
      <vt:lpstr>_82h_E54</vt:lpstr>
      <vt:lpstr>_82h_E55</vt:lpstr>
      <vt:lpstr>_82h_E56</vt:lpstr>
      <vt:lpstr>_82h_E57</vt:lpstr>
      <vt:lpstr>_82h_E58</vt:lpstr>
      <vt:lpstr>_82h_E59</vt:lpstr>
      <vt:lpstr>_82h_E60</vt:lpstr>
      <vt:lpstr>_82h_E61</vt:lpstr>
      <vt:lpstr>_82h_E62</vt:lpstr>
      <vt:lpstr>_82h_E64</vt:lpstr>
      <vt:lpstr>_82h_E65</vt:lpstr>
      <vt:lpstr>_82h_E7</vt:lpstr>
      <vt:lpstr>_82h_E8</vt:lpstr>
      <vt:lpstr>_82h_E9</vt:lpstr>
      <vt:lpstr>_82h_F10</vt:lpstr>
      <vt:lpstr>_82h_F11</vt:lpstr>
      <vt:lpstr>_82h_F12</vt:lpstr>
      <vt:lpstr>_82h_F13</vt:lpstr>
      <vt:lpstr>_82h_F14</vt:lpstr>
      <vt:lpstr>_82h_F15</vt:lpstr>
      <vt:lpstr>_82h_F16</vt:lpstr>
      <vt:lpstr>_82h_F17</vt:lpstr>
      <vt:lpstr>_82h_F18</vt:lpstr>
      <vt:lpstr>_82h_F19</vt:lpstr>
      <vt:lpstr>_82h_F20</vt:lpstr>
      <vt:lpstr>_82h_F21</vt:lpstr>
      <vt:lpstr>_82h_F22</vt:lpstr>
      <vt:lpstr>_82h_F23</vt:lpstr>
      <vt:lpstr>_82h_F24</vt:lpstr>
      <vt:lpstr>_82h_F25</vt:lpstr>
      <vt:lpstr>_82h_F26</vt:lpstr>
      <vt:lpstr>_82h_F27</vt:lpstr>
      <vt:lpstr>_82h_F28</vt:lpstr>
      <vt:lpstr>_82h_F29</vt:lpstr>
      <vt:lpstr>_82h_F30</vt:lpstr>
      <vt:lpstr>_82h_F31</vt:lpstr>
      <vt:lpstr>_82h_F32</vt:lpstr>
      <vt:lpstr>_82h_F33</vt:lpstr>
      <vt:lpstr>_82h_F34</vt:lpstr>
      <vt:lpstr>_82h_F35</vt:lpstr>
      <vt:lpstr>_82h_F36</vt:lpstr>
      <vt:lpstr>_82h_F37</vt:lpstr>
      <vt:lpstr>_82h_F38</vt:lpstr>
      <vt:lpstr>_82h_F39</vt:lpstr>
      <vt:lpstr>_82h_F40</vt:lpstr>
      <vt:lpstr>_82h_F41</vt:lpstr>
      <vt:lpstr>_82h_F42</vt:lpstr>
      <vt:lpstr>_82h_F43</vt:lpstr>
      <vt:lpstr>_82h_F44</vt:lpstr>
      <vt:lpstr>_82h_F45</vt:lpstr>
      <vt:lpstr>_82h_F46</vt:lpstr>
      <vt:lpstr>_82h_F47</vt:lpstr>
      <vt:lpstr>_82h_F48</vt:lpstr>
      <vt:lpstr>_82h_F49</vt:lpstr>
      <vt:lpstr>_82h_F50</vt:lpstr>
      <vt:lpstr>_82h_F51</vt:lpstr>
      <vt:lpstr>_82h_F53</vt:lpstr>
      <vt:lpstr>_82h_F54</vt:lpstr>
      <vt:lpstr>_82h_F55</vt:lpstr>
      <vt:lpstr>_82h_F56</vt:lpstr>
      <vt:lpstr>_82h_F57</vt:lpstr>
      <vt:lpstr>_82h_F58</vt:lpstr>
      <vt:lpstr>_82h_F59</vt:lpstr>
      <vt:lpstr>_82h_F60</vt:lpstr>
      <vt:lpstr>_82h_F61</vt:lpstr>
      <vt:lpstr>_82h_F62</vt:lpstr>
      <vt:lpstr>_82h_F64</vt:lpstr>
      <vt:lpstr>_82h_F65</vt:lpstr>
      <vt:lpstr>_82h_F7</vt:lpstr>
      <vt:lpstr>_82h_F8</vt:lpstr>
      <vt:lpstr>_82h_F9</vt:lpstr>
      <vt:lpstr>_83h_E10</vt:lpstr>
      <vt:lpstr>_83h_E11</vt:lpstr>
      <vt:lpstr>_83h_E12</vt:lpstr>
      <vt:lpstr>_83h_E13</vt:lpstr>
      <vt:lpstr>_83h_E14</vt:lpstr>
      <vt:lpstr>_83h_E15</vt:lpstr>
      <vt:lpstr>_83h_E16</vt:lpstr>
      <vt:lpstr>_83h_E17</vt:lpstr>
      <vt:lpstr>_83h_E18</vt:lpstr>
      <vt:lpstr>_83h_E19</vt:lpstr>
      <vt:lpstr>_83h_E20</vt:lpstr>
      <vt:lpstr>_83h_E21</vt:lpstr>
      <vt:lpstr>_83h_E22</vt:lpstr>
      <vt:lpstr>_83h_E23</vt:lpstr>
      <vt:lpstr>_83h_E24</vt:lpstr>
      <vt:lpstr>_83h_E25</vt:lpstr>
      <vt:lpstr>_83h_E26</vt:lpstr>
      <vt:lpstr>_83h_E27</vt:lpstr>
      <vt:lpstr>_83h_E28</vt:lpstr>
      <vt:lpstr>_83h_E29</vt:lpstr>
      <vt:lpstr>_83h_E30</vt:lpstr>
      <vt:lpstr>_83h_E31</vt:lpstr>
      <vt:lpstr>_83h_E32</vt:lpstr>
      <vt:lpstr>_83h_E33</vt:lpstr>
      <vt:lpstr>_83h_E34</vt:lpstr>
      <vt:lpstr>_83h_E35</vt:lpstr>
      <vt:lpstr>_83h_E36</vt:lpstr>
      <vt:lpstr>_83h_E37</vt:lpstr>
      <vt:lpstr>_83h_E38</vt:lpstr>
      <vt:lpstr>_83h_E39</vt:lpstr>
      <vt:lpstr>_83h_E40</vt:lpstr>
      <vt:lpstr>_83h_E41</vt:lpstr>
      <vt:lpstr>_83h_E42</vt:lpstr>
      <vt:lpstr>_83h_E43</vt:lpstr>
      <vt:lpstr>_83h_E44</vt:lpstr>
      <vt:lpstr>_83h_E45</vt:lpstr>
      <vt:lpstr>_83h_E46</vt:lpstr>
      <vt:lpstr>_83h_E47</vt:lpstr>
      <vt:lpstr>_83h_E48</vt:lpstr>
      <vt:lpstr>_83h_E49</vt:lpstr>
      <vt:lpstr>_83h_E50</vt:lpstr>
      <vt:lpstr>_83h_E51</vt:lpstr>
      <vt:lpstr>_83h_E53</vt:lpstr>
      <vt:lpstr>_83h_E54</vt:lpstr>
      <vt:lpstr>_83h_E55</vt:lpstr>
      <vt:lpstr>_83h_E56</vt:lpstr>
      <vt:lpstr>_83h_E57</vt:lpstr>
      <vt:lpstr>_83h_E58</vt:lpstr>
      <vt:lpstr>_83h_E59</vt:lpstr>
      <vt:lpstr>_83h_E60</vt:lpstr>
      <vt:lpstr>_83h_E61</vt:lpstr>
      <vt:lpstr>_83h_E62</vt:lpstr>
      <vt:lpstr>_83h_E64</vt:lpstr>
      <vt:lpstr>_83h_E65</vt:lpstr>
      <vt:lpstr>_83h_E7</vt:lpstr>
      <vt:lpstr>_83h_E8</vt:lpstr>
      <vt:lpstr>_83h_E9</vt:lpstr>
      <vt:lpstr>_83h_F10</vt:lpstr>
      <vt:lpstr>_83h_F11</vt:lpstr>
      <vt:lpstr>_83h_F12</vt:lpstr>
      <vt:lpstr>_83h_F13</vt:lpstr>
      <vt:lpstr>_83h_F14</vt:lpstr>
      <vt:lpstr>_83h_F15</vt:lpstr>
      <vt:lpstr>_83h_F16</vt:lpstr>
      <vt:lpstr>_83h_F17</vt:lpstr>
      <vt:lpstr>_83h_F18</vt:lpstr>
      <vt:lpstr>_83h_F19</vt:lpstr>
      <vt:lpstr>_83h_F20</vt:lpstr>
      <vt:lpstr>_83h_F21</vt:lpstr>
      <vt:lpstr>_83h_F22</vt:lpstr>
      <vt:lpstr>_83h_F23</vt:lpstr>
      <vt:lpstr>_83h_F24</vt:lpstr>
      <vt:lpstr>_83h_F25</vt:lpstr>
      <vt:lpstr>_83h_F26</vt:lpstr>
      <vt:lpstr>_83h_F27</vt:lpstr>
      <vt:lpstr>_83h_F28</vt:lpstr>
      <vt:lpstr>_83h_F29</vt:lpstr>
      <vt:lpstr>_83h_F30</vt:lpstr>
      <vt:lpstr>_83h_F31</vt:lpstr>
      <vt:lpstr>_83h_F32</vt:lpstr>
      <vt:lpstr>_83h_F33</vt:lpstr>
      <vt:lpstr>_83h_F34</vt:lpstr>
      <vt:lpstr>_83h_F35</vt:lpstr>
      <vt:lpstr>_83h_F36</vt:lpstr>
      <vt:lpstr>_83h_F37</vt:lpstr>
      <vt:lpstr>_83h_F38</vt:lpstr>
      <vt:lpstr>_83h_F39</vt:lpstr>
      <vt:lpstr>_83h_F40</vt:lpstr>
      <vt:lpstr>_83h_F41</vt:lpstr>
      <vt:lpstr>_83h_F42</vt:lpstr>
      <vt:lpstr>_83h_F43</vt:lpstr>
      <vt:lpstr>_83h_F44</vt:lpstr>
      <vt:lpstr>_83h_F45</vt:lpstr>
      <vt:lpstr>_83h_F46</vt:lpstr>
      <vt:lpstr>_83h_F47</vt:lpstr>
      <vt:lpstr>_83h_F48</vt:lpstr>
      <vt:lpstr>_83h_F49</vt:lpstr>
      <vt:lpstr>_83h_F50</vt:lpstr>
      <vt:lpstr>_83h_F51</vt:lpstr>
      <vt:lpstr>_83h_F53</vt:lpstr>
      <vt:lpstr>_83h_F54</vt:lpstr>
      <vt:lpstr>_83h_F55</vt:lpstr>
      <vt:lpstr>_83h_F56</vt:lpstr>
      <vt:lpstr>_83h_F57</vt:lpstr>
      <vt:lpstr>_83h_F58</vt:lpstr>
      <vt:lpstr>_83h_F59</vt:lpstr>
      <vt:lpstr>_83h_F60</vt:lpstr>
      <vt:lpstr>_83h_F61</vt:lpstr>
      <vt:lpstr>_83h_F62</vt:lpstr>
      <vt:lpstr>_83h_F64</vt:lpstr>
      <vt:lpstr>_83h_F65</vt:lpstr>
      <vt:lpstr>_83h_F7</vt:lpstr>
      <vt:lpstr>_83h_F8</vt:lpstr>
      <vt:lpstr>_83h_F9</vt:lpstr>
      <vt:lpstr>_84h_E10</vt:lpstr>
      <vt:lpstr>_84h_E11</vt:lpstr>
      <vt:lpstr>_84h_E12</vt:lpstr>
      <vt:lpstr>_84h_E13</vt:lpstr>
      <vt:lpstr>_84h_E14</vt:lpstr>
      <vt:lpstr>_84h_E15</vt:lpstr>
      <vt:lpstr>_84h_E16</vt:lpstr>
      <vt:lpstr>_84h_E17</vt:lpstr>
      <vt:lpstr>_84h_E18</vt:lpstr>
      <vt:lpstr>_84h_E19</vt:lpstr>
      <vt:lpstr>_84h_E20</vt:lpstr>
      <vt:lpstr>_84h_E21</vt:lpstr>
      <vt:lpstr>_84h_E22</vt:lpstr>
      <vt:lpstr>_84h_E23</vt:lpstr>
      <vt:lpstr>_84h_E24</vt:lpstr>
      <vt:lpstr>_84h_E25</vt:lpstr>
      <vt:lpstr>_84h_E26</vt:lpstr>
      <vt:lpstr>_84h_E27</vt:lpstr>
      <vt:lpstr>_84h_E28</vt:lpstr>
      <vt:lpstr>_84h_E29</vt:lpstr>
      <vt:lpstr>_84h_E30</vt:lpstr>
      <vt:lpstr>_84h_E31</vt:lpstr>
      <vt:lpstr>_84h_E32</vt:lpstr>
      <vt:lpstr>_84h_E33</vt:lpstr>
      <vt:lpstr>_84h_E34</vt:lpstr>
      <vt:lpstr>_84h_E35</vt:lpstr>
      <vt:lpstr>_84h_E36</vt:lpstr>
      <vt:lpstr>_84h_E37</vt:lpstr>
      <vt:lpstr>_84h_E38</vt:lpstr>
      <vt:lpstr>_84h_E39</vt:lpstr>
      <vt:lpstr>_84h_E40</vt:lpstr>
      <vt:lpstr>_84h_E41</vt:lpstr>
      <vt:lpstr>_84h_E42</vt:lpstr>
      <vt:lpstr>_84h_E43</vt:lpstr>
      <vt:lpstr>_84h_E44</vt:lpstr>
      <vt:lpstr>_84h_E45</vt:lpstr>
      <vt:lpstr>_84h_E46</vt:lpstr>
      <vt:lpstr>_84h_E47</vt:lpstr>
      <vt:lpstr>_84h_E48</vt:lpstr>
      <vt:lpstr>_84h_E49</vt:lpstr>
      <vt:lpstr>_84h_E50</vt:lpstr>
      <vt:lpstr>_84h_E51</vt:lpstr>
      <vt:lpstr>_84h_E53</vt:lpstr>
      <vt:lpstr>_84h_E54</vt:lpstr>
      <vt:lpstr>_84h_E55</vt:lpstr>
      <vt:lpstr>_84h_E56</vt:lpstr>
      <vt:lpstr>_84h_E57</vt:lpstr>
      <vt:lpstr>_84h_E58</vt:lpstr>
      <vt:lpstr>_84h_E59</vt:lpstr>
      <vt:lpstr>_84h_E60</vt:lpstr>
      <vt:lpstr>_84h_E61</vt:lpstr>
      <vt:lpstr>_84h_E62</vt:lpstr>
      <vt:lpstr>_84h_E64</vt:lpstr>
      <vt:lpstr>_84h_E65</vt:lpstr>
      <vt:lpstr>_84h_E7</vt:lpstr>
      <vt:lpstr>_84h_E8</vt:lpstr>
      <vt:lpstr>_84h_E9</vt:lpstr>
      <vt:lpstr>_84h_F10</vt:lpstr>
      <vt:lpstr>_84h_F11</vt:lpstr>
      <vt:lpstr>_84h_F12</vt:lpstr>
      <vt:lpstr>_84h_F13</vt:lpstr>
      <vt:lpstr>_84h_F14</vt:lpstr>
      <vt:lpstr>_84h_F15</vt:lpstr>
      <vt:lpstr>_84h_F16</vt:lpstr>
      <vt:lpstr>_84h_F17</vt:lpstr>
      <vt:lpstr>_84h_F18</vt:lpstr>
      <vt:lpstr>_84h_F19</vt:lpstr>
      <vt:lpstr>_84h_F20</vt:lpstr>
      <vt:lpstr>_84h_F21</vt:lpstr>
      <vt:lpstr>_84h_F22</vt:lpstr>
      <vt:lpstr>_84h_F23</vt:lpstr>
      <vt:lpstr>_84h_F24</vt:lpstr>
      <vt:lpstr>_84h_F25</vt:lpstr>
      <vt:lpstr>_84h_F26</vt:lpstr>
      <vt:lpstr>_84h_F27</vt:lpstr>
      <vt:lpstr>_84h_F28</vt:lpstr>
      <vt:lpstr>_84h_F29</vt:lpstr>
      <vt:lpstr>_84h_F30</vt:lpstr>
      <vt:lpstr>_84h_F31</vt:lpstr>
      <vt:lpstr>_84h_F32</vt:lpstr>
      <vt:lpstr>_84h_F33</vt:lpstr>
      <vt:lpstr>_84h_F34</vt:lpstr>
      <vt:lpstr>_84h_F35</vt:lpstr>
      <vt:lpstr>_84h_F36</vt:lpstr>
      <vt:lpstr>_84h_F37</vt:lpstr>
      <vt:lpstr>_84h_F38</vt:lpstr>
      <vt:lpstr>_84h_F39</vt:lpstr>
      <vt:lpstr>_84h_F40</vt:lpstr>
      <vt:lpstr>_84h_F41</vt:lpstr>
      <vt:lpstr>_84h_F42</vt:lpstr>
      <vt:lpstr>_84h_F43</vt:lpstr>
      <vt:lpstr>_84h_F44</vt:lpstr>
      <vt:lpstr>_84h_F45</vt:lpstr>
      <vt:lpstr>_84h_F46</vt:lpstr>
      <vt:lpstr>_84h_F47</vt:lpstr>
      <vt:lpstr>_84h_F48</vt:lpstr>
      <vt:lpstr>_84h_F49</vt:lpstr>
      <vt:lpstr>_84h_F50</vt:lpstr>
      <vt:lpstr>_84h_F51</vt:lpstr>
      <vt:lpstr>_84h_F53</vt:lpstr>
      <vt:lpstr>_84h_F54</vt:lpstr>
      <vt:lpstr>_84h_F55</vt:lpstr>
      <vt:lpstr>_84h_F56</vt:lpstr>
      <vt:lpstr>_84h_F57</vt:lpstr>
      <vt:lpstr>_84h_F58</vt:lpstr>
      <vt:lpstr>_84h_F59</vt:lpstr>
      <vt:lpstr>_84h_F60</vt:lpstr>
      <vt:lpstr>_84h_F61</vt:lpstr>
      <vt:lpstr>_84h_F62</vt:lpstr>
      <vt:lpstr>_84h_F64</vt:lpstr>
      <vt:lpstr>_84h_F65</vt:lpstr>
      <vt:lpstr>_84h_F7</vt:lpstr>
      <vt:lpstr>_84h_F8</vt:lpstr>
      <vt:lpstr>_84h_F9</vt:lpstr>
      <vt:lpstr>_85h_E10</vt:lpstr>
      <vt:lpstr>_85h_E11</vt:lpstr>
      <vt:lpstr>_85h_E12</vt:lpstr>
      <vt:lpstr>_85h_E13</vt:lpstr>
      <vt:lpstr>_85h_E14</vt:lpstr>
      <vt:lpstr>_85h_E15</vt:lpstr>
      <vt:lpstr>_85h_E16</vt:lpstr>
      <vt:lpstr>_85h_E17</vt:lpstr>
      <vt:lpstr>_85h_E18</vt:lpstr>
      <vt:lpstr>_85h_E19</vt:lpstr>
      <vt:lpstr>_85h_E20</vt:lpstr>
      <vt:lpstr>_85h_E21</vt:lpstr>
      <vt:lpstr>_85h_E22</vt:lpstr>
      <vt:lpstr>_85h_E23</vt:lpstr>
      <vt:lpstr>_85h_E24</vt:lpstr>
      <vt:lpstr>_85h_E25</vt:lpstr>
      <vt:lpstr>_85h_E26</vt:lpstr>
      <vt:lpstr>_85h_E27</vt:lpstr>
      <vt:lpstr>_85h_E28</vt:lpstr>
      <vt:lpstr>_85h_E29</vt:lpstr>
      <vt:lpstr>_85h_E30</vt:lpstr>
      <vt:lpstr>_85h_E31</vt:lpstr>
      <vt:lpstr>_85h_E32</vt:lpstr>
      <vt:lpstr>_85h_E33</vt:lpstr>
      <vt:lpstr>_85h_E34</vt:lpstr>
      <vt:lpstr>_85h_E35</vt:lpstr>
      <vt:lpstr>_85h_E36</vt:lpstr>
      <vt:lpstr>_85h_E37</vt:lpstr>
      <vt:lpstr>_85h_E38</vt:lpstr>
      <vt:lpstr>_85h_E39</vt:lpstr>
      <vt:lpstr>_85h_E40</vt:lpstr>
      <vt:lpstr>_85h_E41</vt:lpstr>
      <vt:lpstr>_85h_E42</vt:lpstr>
      <vt:lpstr>_85h_E43</vt:lpstr>
      <vt:lpstr>_85h_E44</vt:lpstr>
      <vt:lpstr>_85h_E45</vt:lpstr>
      <vt:lpstr>_85h_E46</vt:lpstr>
      <vt:lpstr>_85h_E47</vt:lpstr>
      <vt:lpstr>_85h_E48</vt:lpstr>
      <vt:lpstr>_85h_E49</vt:lpstr>
      <vt:lpstr>_85h_E50</vt:lpstr>
      <vt:lpstr>_85h_E51</vt:lpstr>
      <vt:lpstr>_85h_E53</vt:lpstr>
      <vt:lpstr>_85h_E54</vt:lpstr>
      <vt:lpstr>_85h_E55</vt:lpstr>
      <vt:lpstr>_85h_E56</vt:lpstr>
      <vt:lpstr>_85h_E57</vt:lpstr>
      <vt:lpstr>_85h_E58</vt:lpstr>
      <vt:lpstr>_85h_E59</vt:lpstr>
      <vt:lpstr>_85h_E60</vt:lpstr>
      <vt:lpstr>_85h_E61</vt:lpstr>
      <vt:lpstr>_85h_E62</vt:lpstr>
      <vt:lpstr>_85h_E64</vt:lpstr>
      <vt:lpstr>_85h_E65</vt:lpstr>
      <vt:lpstr>_85h_E7</vt:lpstr>
      <vt:lpstr>_85h_E8</vt:lpstr>
      <vt:lpstr>_85h_E9</vt:lpstr>
      <vt:lpstr>_85h_F10</vt:lpstr>
      <vt:lpstr>_85h_F11</vt:lpstr>
      <vt:lpstr>_85h_F12</vt:lpstr>
      <vt:lpstr>_85h_F13</vt:lpstr>
      <vt:lpstr>_85h_F14</vt:lpstr>
      <vt:lpstr>_85h_F15</vt:lpstr>
      <vt:lpstr>_85h_F16</vt:lpstr>
      <vt:lpstr>_85h_F17</vt:lpstr>
      <vt:lpstr>_85h_F18</vt:lpstr>
      <vt:lpstr>_85h_F19</vt:lpstr>
      <vt:lpstr>_85h_F20</vt:lpstr>
      <vt:lpstr>_85h_F21</vt:lpstr>
      <vt:lpstr>_85h_F22</vt:lpstr>
      <vt:lpstr>_85h_F23</vt:lpstr>
      <vt:lpstr>_85h_F24</vt:lpstr>
      <vt:lpstr>_85h_F25</vt:lpstr>
      <vt:lpstr>_85h_F26</vt:lpstr>
      <vt:lpstr>_85h_F27</vt:lpstr>
      <vt:lpstr>_85h_F28</vt:lpstr>
      <vt:lpstr>_85h_F29</vt:lpstr>
      <vt:lpstr>_85h_F30</vt:lpstr>
      <vt:lpstr>_85h_F31</vt:lpstr>
      <vt:lpstr>_85h_F32</vt:lpstr>
      <vt:lpstr>_85h_F33</vt:lpstr>
      <vt:lpstr>_85h_F34</vt:lpstr>
      <vt:lpstr>_85h_F35</vt:lpstr>
      <vt:lpstr>_85h_F36</vt:lpstr>
      <vt:lpstr>_85h_F37</vt:lpstr>
      <vt:lpstr>_85h_F38</vt:lpstr>
      <vt:lpstr>_85h_F39</vt:lpstr>
      <vt:lpstr>_85h_F40</vt:lpstr>
      <vt:lpstr>_85h_F41</vt:lpstr>
      <vt:lpstr>_85h_F42</vt:lpstr>
      <vt:lpstr>_85h_F43</vt:lpstr>
      <vt:lpstr>_85h_F44</vt:lpstr>
      <vt:lpstr>_85h_F45</vt:lpstr>
      <vt:lpstr>_85h_F46</vt:lpstr>
      <vt:lpstr>_85h_F47</vt:lpstr>
      <vt:lpstr>_85h_F48</vt:lpstr>
      <vt:lpstr>_85h_F49</vt:lpstr>
      <vt:lpstr>_85h_F50</vt:lpstr>
      <vt:lpstr>_85h_F51</vt:lpstr>
      <vt:lpstr>_85h_F53</vt:lpstr>
      <vt:lpstr>_85h_F54</vt:lpstr>
      <vt:lpstr>_85h_F55</vt:lpstr>
      <vt:lpstr>_85h_F56</vt:lpstr>
      <vt:lpstr>_85h_F57</vt:lpstr>
      <vt:lpstr>_85h_F58</vt:lpstr>
      <vt:lpstr>_85h_F59</vt:lpstr>
      <vt:lpstr>_85h_F60</vt:lpstr>
      <vt:lpstr>_85h_F61</vt:lpstr>
      <vt:lpstr>_85h_F62</vt:lpstr>
      <vt:lpstr>_85h_F64</vt:lpstr>
      <vt:lpstr>_85h_F65</vt:lpstr>
      <vt:lpstr>_85h_F7</vt:lpstr>
      <vt:lpstr>_85h_F8</vt:lpstr>
      <vt:lpstr>_85h_F9</vt:lpstr>
      <vt:lpstr>_86h_E10</vt:lpstr>
      <vt:lpstr>_86h_E11</vt:lpstr>
      <vt:lpstr>_86h_E12</vt:lpstr>
      <vt:lpstr>_86h_E13</vt:lpstr>
      <vt:lpstr>_86h_E14</vt:lpstr>
      <vt:lpstr>_86h_E15</vt:lpstr>
      <vt:lpstr>_86h_E16</vt:lpstr>
      <vt:lpstr>_86h_E17</vt:lpstr>
      <vt:lpstr>_86h_E18</vt:lpstr>
      <vt:lpstr>_86h_E19</vt:lpstr>
      <vt:lpstr>_86h_E20</vt:lpstr>
      <vt:lpstr>_86h_E21</vt:lpstr>
      <vt:lpstr>_86h_E22</vt:lpstr>
      <vt:lpstr>_86h_E23</vt:lpstr>
      <vt:lpstr>_86h_E24</vt:lpstr>
      <vt:lpstr>_86h_E25</vt:lpstr>
      <vt:lpstr>_86h_E26</vt:lpstr>
      <vt:lpstr>_86h_E27</vt:lpstr>
      <vt:lpstr>_86h_E28</vt:lpstr>
      <vt:lpstr>_86h_E29</vt:lpstr>
      <vt:lpstr>_86h_E30</vt:lpstr>
      <vt:lpstr>_86h_E31</vt:lpstr>
      <vt:lpstr>_86h_E32</vt:lpstr>
      <vt:lpstr>_86h_E33</vt:lpstr>
      <vt:lpstr>_86h_E34</vt:lpstr>
      <vt:lpstr>_86h_E35</vt:lpstr>
      <vt:lpstr>_86h_E36</vt:lpstr>
      <vt:lpstr>_86h_E37</vt:lpstr>
      <vt:lpstr>_86h_E38</vt:lpstr>
      <vt:lpstr>_86h_E39</vt:lpstr>
      <vt:lpstr>_86h_E40</vt:lpstr>
      <vt:lpstr>_86h_E41</vt:lpstr>
      <vt:lpstr>_86h_E42</vt:lpstr>
      <vt:lpstr>_86h_E43</vt:lpstr>
      <vt:lpstr>_86h_E44</vt:lpstr>
      <vt:lpstr>_86h_E45</vt:lpstr>
      <vt:lpstr>_86h_E46</vt:lpstr>
      <vt:lpstr>_86h_E47</vt:lpstr>
      <vt:lpstr>_86h_E48</vt:lpstr>
      <vt:lpstr>_86h_E49</vt:lpstr>
      <vt:lpstr>_86h_E50</vt:lpstr>
      <vt:lpstr>_86h_E51</vt:lpstr>
      <vt:lpstr>_86h_E53</vt:lpstr>
      <vt:lpstr>_86h_E54</vt:lpstr>
      <vt:lpstr>_86h_E55</vt:lpstr>
      <vt:lpstr>_86h_E56</vt:lpstr>
      <vt:lpstr>_86h_E57</vt:lpstr>
      <vt:lpstr>_86h_E58</vt:lpstr>
      <vt:lpstr>_86h_E59</vt:lpstr>
      <vt:lpstr>_86h_E60</vt:lpstr>
      <vt:lpstr>_86h_E61</vt:lpstr>
      <vt:lpstr>_86h_E62</vt:lpstr>
      <vt:lpstr>_86h_E64</vt:lpstr>
      <vt:lpstr>_86h_E65</vt:lpstr>
      <vt:lpstr>_86h_E7</vt:lpstr>
      <vt:lpstr>_86h_E8</vt:lpstr>
      <vt:lpstr>_86h_E9</vt:lpstr>
      <vt:lpstr>_86h_F10</vt:lpstr>
      <vt:lpstr>_86h_F11</vt:lpstr>
      <vt:lpstr>_86h_F12</vt:lpstr>
      <vt:lpstr>_86h_F13</vt:lpstr>
      <vt:lpstr>_86h_F14</vt:lpstr>
      <vt:lpstr>_86h_F15</vt:lpstr>
      <vt:lpstr>_86h_F16</vt:lpstr>
      <vt:lpstr>_86h_F17</vt:lpstr>
      <vt:lpstr>_86h_F18</vt:lpstr>
      <vt:lpstr>_86h_F19</vt:lpstr>
      <vt:lpstr>_86h_F20</vt:lpstr>
      <vt:lpstr>_86h_F21</vt:lpstr>
      <vt:lpstr>_86h_F22</vt:lpstr>
      <vt:lpstr>_86h_F23</vt:lpstr>
      <vt:lpstr>_86h_F24</vt:lpstr>
      <vt:lpstr>_86h_F25</vt:lpstr>
      <vt:lpstr>_86h_F26</vt:lpstr>
      <vt:lpstr>_86h_F27</vt:lpstr>
      <vt:lpstr>_86h_F28</vt:lpstr>
      <vt:lpstr>_86h_F29</vt:lpstr>
      <vt:lpstr>_86h_F30</vt:lpstr>
      <vt:lpstr>_86h_F31</vt:lpstr>
      <vt:lpstr>_86h_F32</vt:lpstr>
      <vt:lpstr>_86h_F33</vt:lpstr>
      <vt:lpstr>_86h_F34</vt:lpstr>
      <vt:lpstr>_86h_F35</vt:lpstr>
      <vt:lpstr>_86h_F36</vt:lpstr>
      <vt:lpstr>_86h_F37</vt:lpstr>
      <vt:lpstr>_86h_F38</vt:lpstr>
      <vt:lpstr>_86h_F39</vt:lpstr>
      <vt:lpstr>_86h_F40</vt:lpstr>
      <vt:lpstr>_86h_F41</vt:lpstr>
      <vt:lpstr>_86h_F42</vt:lpstr>
      <vt:lpstr>_86h_F43</vt:lpstr>
      <vt:lpstr>_86h_F44</vt:lpstr>
      <vt:lpstr>_86h_F45</vt:lpstr>
      <vt:lpstr>_86h_F46</vt:lpstr>
      <vt:lpstr>_86h_F47</vt:lpstr>
      <vt:lpstr>_86h_F48</vt:lpstr>
      <vt:lpstr>_86h_F49</vt:lpstr>
      <vt:lpstr>_86h_F50</vt:lpstr>
      <vt:lpstr>_86h_F51</vt:lpstr>
      <vt:lpstr>_86h_F53</vt:lpstr>
      <vt:lpstr>_86h_F54</vt:lpstr>
      <vt:lpstr>_86h_F55</vt:lpstr>
      <vt:lpstr>_86h_F56</vt:lpstr>
      <vt:lpstr>_86h_F57</vt:lpstr>
      <vt:lpstr>_86h_F58</vt:lpstr>
      <vt:lpstr>_86h_F59</vt:lpstr>
      <vt:lpstr>_86h_F60</vt:lpstr>
      <vt:lpstr>_86h_F61</vt:lpstr>
      <vt:lpstr>_86h_F62</vt:lpstr>
      <vt:lpstr>_86h_F64</vt:lpstr>
      <vt:lpstr>_86h_F65</vt:lpstr>
      <vt:lpstr>_86h_F7</vt:lpstr>
      <vt:lpstr>_86h_F8</vt:lpstr>
      <vt:lpstr>_86h_F9</vt:lpstr>
      <vt:lpstr>_87h_E10</vt:lpstr>
      <vt:lpstr>_87h_E11</vt:lpstr>
      <vt:lpstr>_87h_E12</vt:lpstr>
      <vt:lpstr>_87h_E13</vt:lpstr>
      <vt:lpstr>_87h_E14</vt:lpstr>
      <vt:lpstr>_87h_E15</vt:lpstr>
      <vt:lpstr>_87h_E16</vt:lpstr>
      <vt:lpstr>_87h_E17</vt:lpstr>
      <vt:lpstr>_87h_E18</vt:lpstr>
      <vt:lpstr>_87h_E19</vt:lpstr>
      <vt:lpstr>_87h_E20</vt:lpstr>
      <vt:lpstr>_87h_E21</vt:lpstr>
      <vt:lpstr>_87h_E22</vt:lpstr>
      <vt:lpstr>_87h_E23</vt:lpstr>
      <vt:lpstr>_87h_E24</vt:lpstr>
      <vt:lpstr>_87h_E25</vt:lpstr>
      <vt:lpstr>_87h_E26</vt:lpstr>
      <vt:lpstr>_87h_E27</vt:lpstr>
      <vt:lpstr>_87h_E28</vt:lpstr>
      <vt:lpstr>_87h_E29</vt:lpstr>
      <vt:lpstr>_87h_E30</vt:lpstr>
      <vt:lpstr>_87h_E31</vt:lpstr>
      <vt:lpstr>_87h_E32</vt:lpstr>
      <vt:lpstr>_87h_E33</vt:lpstr>
      <vt:lpstr>_87h_E34</vt:lpstr>
      <vt:lpstr>_87h_E35</vt:lpstr>
      <vt:lpstr>_87h_E36</vt:lpstr>
      <vt:lpstr>_87h_E37</vt:lpstr>
      <vt:lpstr>_87h_E38</vt:lpstr>
      <vt:lpstr>_87h_E39</vt:lpstr>
      <vt:lpstr>_87h_E40</vt:lpstr>
      <vt:lpstr>_87h_E41</vt:lpstr>
      <vt:lpstr>_87h_E42</vt:lpstr>
      <vt:lpstr>_87h_E43</vt:lpstr>
      <vt:lpstr>_87h_E44</vt:lpstr>
      <vt:lpstr>_87h_E45</vt:lpstr>
      <vt:lpstr>_87h_E46</vt:lpstr>
      <vt:lpstr>_87h_E47</vt:lpstr>
      <vt:lpstr>_87h_E48</vt:lpstr>
      <vt:lpstr>_87h_E49</vt:lpstr>
      <vt:lpstr>_87h_E50</vt:lpstr>
      <vt:lpstr>_87h_E51</vt:lpstr>
      <vt:lpstr>_87h_E53</vt:lpstr>
      <vt:lpstr>_87h_E54</vt:lpstr>
      <vt:lpstr>_87h_E55</vt:lpstr>
      <vt:lpstr>_87h_E56</vt:lpstr>
      <vt:lpstr>_87h_E57</vt:lpstr>
      <vt:lpstr>_87h_E58</vt:lpstr>
      <vt:lpstr>_87h_E59</vt:lpstr>
      <vt:lpstr>_87h_E60</vt:lpstr>
      <vt:lpstr>_87h_E61</vt:lpstr>
      <vt:lpstr>_87h_E62</vt:lpstr>
      <vt:lpstr>_87h_E64</vt:lpstr>
      <vt:lpstr>_87h_E65</vt:lpstr>
      <vt:lpstr>_87h_E7</vt:lpstr>
      <vt:lpstr>_87h_E8</vt:lpstr>
      <vt:lpstr>_87h_E9</vt:lpstr>
      <vt:lpstr>_87h_F10</vt:lpstr>
      <vt:lpstr>_87h_F11</vt:lpstr>
      <vt:lpstr>_87h_F12</vt:lpstr>
      <vt:lpstr>_87h_F13</vt:lpstr>
      <vt:lpstr>_87h_F14</vt:lpstr>
      <vt:lpstr>_87h_F15</vt:lpstr>
      <vt:lpstr>_87h_F16</vt:lpstr>
      <vt:lpstr>_87h_F17</vt:lpstr>
      <vt:lpstr>_87h_F18</vt:lpstr>
      <vt:lpstr>_87h_F19</vt:lpstr>
      <vt:lpstr>_87h_F20</vt:lpstr>
      <vt:lpstr>_87h_F21</vt:lpstr>
      <vt:lpstr>_87h_F22</vt:lpstr>
      <vt:lpstr>_87h_F23</vt:lpstr>
      <vt:lpstr>_87h_F24</vt:lpstr>
      <vt:lpstr>_87h_F25</vt:lpstr>
      <vt:lpstr>_87h_F26</vt:lpstr>
      <vt:lpstr>_87h_F27</vt:lpstr>
      <vt:lpstr>_87h_F28</vt:lpstr>
      <vt:lpstr>_87h_F29</vt:lpstr>
      <vt:lpstr>_87h_F30</vt:lpstr>
      <vt:lpstr>_87h_F31</vt:lpstr>
      <vt:lpstr>_87h_F32</vt:lpstr>
      <vt:lpstr>_87h_F33</vt:lpstr>
      <vt:lpstr>_87h_F34</vt:lpstr>
      <vt:lpstr>_87h_F35</vt:lpstr>
      <vt:lpstr>_87h_F36</vt:lpstr>
      <vt:lpstr>_87h_F37</vt:lpstr>
      <vt:lpstr>_87h_F38</vt:lpstr>
      <vt:lpstr>_87h_F39</vt:lpstr>
      <vt:lpstr>_87h_F40</vt:lpstr>
      <vt:lpstr>_87h_F41</vt:lpstr>
      <vt:lpstr>_87h_F42</vt:lpstr>
      <vt:lpstr>_87h_F43</vt:lpstr>
      <vt:lpstr>_87h_F44</vt:lpstr>
      <vt:lpstr>_87h_F45</vt:lpstr>
      <vt:lpstr>_87h_F46</vt:lpstr>
      <vt:lpstr>_87h_F47</vt:lpstr>
      <vt:lpstr>_87h_F48</vt:lpstr>
      <vt:lpstr>_87h_F49</vt:lpstr>
      <vt:lpstr>_87h_F50</vt:lpstr>
      <vt:lpstr>_87h_F51</vt:lpstr>
      <vt:lpstr>_87h_F53</vt:lpstr>
      <vt:lpstr>_87h_F54</vt:lpstr>
      <vt:lpstr>_87h_F55</vt:lpstr>
      <vt:lpstr>_87h_F56</vt:lpstr>
      <vt:lpstr>_87h_F57</vt:lpstr>
      <vt:lpstr>_87h_F58</vt:lpstr>
      <vt:lpstr>_87h_F59</vt:lpstr>
      <vt:lpstr>_87h_F60</vt:lpstr>
      <vt:lpstr>_87h_F61</vt:lpstr>
      <vt:lpstr>_87h_F62</vt:lpstr>
      <vt:lpstr>_87h_F64</vt:lpstr>
      <vt:lpstr>_87h_F65</vt:lpstr>
      <vt:lpstr>_87h_F7</vt:lpstr>
      <vt:lpstr>_87h_F8</vt:lpstr>
      <vt:lpstr>_87h_F9</vt:lpstr>
      <vt:lpstr>_88h_E10</vt:lpstr>
      <vt:lpstr>_88h_E11</vt:lpstr>
      <vt:lpstr>_88h_E12</vt:lpstr>
      <vt:lpstr>_88h_E13</vt:lpstr>
      <vt:lpstr>_88h_E14</vt:lpstr>
      <vt:lpstr>_88h_E15</vt:lpstr>
      <vt:lpstr>_88h_E16</vt:lpstr>
      <vt:lpstr>_88h_E17</vt:lpstr>
      <vt:lpstr>_88h_E18</vt:lpstr>
      <vt:lpstr>_88h_E19</vt:lpstr>
      <vt:lpstr>_88h_E20</vt:lpstr>
      <vt:lpstr>_88h_E21</vt:lpstr>
      <vt:lpstr>_88h_E22</vt:lpstr>
      <vt:lpstr>_88h_E23</vt:lpstr>
      <vt:lpstr>_88h_E24</vt:lpstr>
      <vt:lpstr>_88h_E25</vt:lpstr>
      <vt:lpstr>_88h_E26</vt:lpstr>
      <vt:lpstr>_88h_E27</vt:lpstr>
      <vt:lpstr>_88h_E28</vt:lpstr>
      <vt:lpstr>_88h_E29</vt:lpstr>
      <vt:lpstr>_88h_E30</vt:lpstr>
      <vt:lpstr>_88h_E31</vt:lpstr>
      <vt:lpstr>_88h_E32</vt:lpstr>
      <vt:lpstr>_88h_E33</vt:lpstr>
      <vt:lpstr>_88h_E34</vt:lpstr>
      <vt:lpstr>_88h_E35</vt:lpstr>
      <vt:lpstr>_88h_E36</vt:lpstr>
      <vt:lpstr>_88h_E37</vt:lpstr>
      <vt:lpstr>_88h_E38</vt:lpstr>
      <vt:lpstr>_88h_E39</vt:lpstr>
      <vt:lpstr>_88h_E40</vt:lpstr>
      <vt:lpstr>_88h_E41</vt:lpstr>
      <vt:lpstr>_88h_E42</vt:lpstr>
      <vt:lpstr>_88h_E43</vt:lpstr>
      <vt:lpstr>_88h_E44</vt:lpstr>
      <vt:lpstr>_88h_E45</vt:lpstr>
      <vt:lpstr>_88h_E46</vt:lpstr>
      <vt:lpstr>_88h_E47</vt:lpstr>
      <vt:lpstr>_88h_E48</vt:lpstr>
      <vt:lpstr>_88h_E49</vt:lpstr>
      <vt:lpstr>_88h_E50</vt:lpstr>
      <vt:lpstr>_88h_E51</vt:lpstr>
      <vt:lpstr>_88h_E53</vt:lpstr>
      <vt:lpstr>_88h_E54</vt:lpstr>
      <vt:lpstr>_88h_E55</vt:lpstr>
      <vt:lpstr>_88h_E56</vt:lpstr>
      <vt:lpstr>_88h_E57</vt:lpstr>
      <vt:lpstr>_88h_E58</vt:lpstr>
      <vt:lpstr>_88h_E59</vt:lpstr>
      <vt:lpstr>_88h_E60</vt:lpstr>
      <vt:lpstr>_88h_E61</vt:lpstr>
      <vt:lpstr>_88h_E62</vt:lpstr>
      <vt:lpstr>_88h_E64</vt:lpstr>
      <vt:lpstr>_88h_E65</vt:lpstr>
      <vt:lpstr>_88h_E7</vt:lpstr>
      <vt:lpstr>_88h_E8</vt:lpstr>
      <vt:lpstr>_88h_E9</vt:lpstr>
      <vt:lpstr>_88h_F10</vt:lpstr>
      <vt:lpstr>_88h_F11</vt:lpstr>
      <vt:lpstr>_88h_F12</vt:lpstr>
      <vt:lpstr>_88h_F13</vt:lpstr>
      <vt:lpstr>_88h_F14</vt:lpstr>
      <vt:lpstr>_88h_F15</vt:lpstr>
      <vt:lpstr>_88h_F16</vt:lpstr>
      <vt:lpstr>_88h_F17</vt:lpstr>
      <vt:lpstr>_88h_F18</vt:lpstr>
      <vt:lpstr>_88h_F19</vt:lpstr>
      <vt:lpstr>_88h_F20</vt:lpstr>
      <vt:lpstr>_88h_F21</vt:lpstr>
      <vt:lpstr>_88h_F22</vt:lpstr>
      <vt:lpstr>_88h_F23</vt:lpstr>
      <vt:lpstr>_88h_F24</vt:lpstr>
      <vt:lpstr>_88h_F25</vt:lpstr>
      <vt:lpstr>_88h_F26</vt:lpstr>
      <vt:lpstr>_88h_F27</vt:lpstr>
      <vt:lpstr>_88h_F28</vt:lpstr>
      <vt:lpstr>_88h_F29</vt:lpstr>
      <vt:lpstr>_88h_F30</vt:lpstr>
      <vt:lpstr>_88h_F31</vt:lpstr>
      <vt:lpstr>_88h_F32</vt:lpstr>
      <vt:lpstr>_88h_F33</vt:lpstr>
      <vt:lpstr>_88h_F34</vt:lpstr>
      <vt:lpstr>_88h_F35</vt:lpstr>
      <vt:lpstr>_88h_F36</vt:lpstr>
      <vt:lpstr>_88h_F37</vt:lpstr>
      <vt:lpstr>_88h_F38</vt:lpstr>
      <vt:lpstr>_88h_F39</vt:lpstr>
      <vt:lpstr>_88h_F40</vt:lpstr>
      <vt:lpstr>_88h_F41</vt:lpstr>
      <vt:lpstr>_88h_F42</vt:lpstr>
      <vt:lpstr>_88h_F43</vt:lpstr>
      <vt:lpstr>_88h_F44</vt:lpstr>
      <vt:lpstr>_88h_F45</vt:lpstr>
      <vt:lpstr>_88h_F46</vt:lpstr>
      <vt:lpstr>_88h_F47</vt:lpstr>
      <vt:lpstr>_88h_F48</vt:lpstr>
      <vt:lpstr>_88h_F49</vt:lpstr>
      <vt:lpstr>_88h_F50</vt:lpstr>
      <vt:lpstr>_88h_F51</vt:lpstr>
      <vt:lpstr>_88h_F53</vt:lpstr>
      <vt:lpstr>_88h_F54</vt:lpstr>
      <vt:lpstr>_88h_F55</vt:lpstr>
      <vt:lpstr>_88h_F56</vt:lpstr>
      <vt:lpstr>_88h_F57</vt:lpstr>
      <vt:lpstr>_88h_F58</vt:lpstr>
      <vt:lpstr>_88h_F59</vt:lpstr>
      <vt:lpstr>_88h_F60</vt:lpstr>
      <vt:lpstr>_88h_F61</vt:lpstr>
      <vt:lpstr>_88h_F62</vt:lpstr>
      <vt:lpstr>_88h_F64</vt:lpstr>
      <vt:lpstr>_88h_F65</vt:lpstr>
      <vt:lpstr>_88h_F7</vt:lpstr>
      <vt:lpstr>_88h_F8</vt:lpstr>
      <vt:lpstr>_88h_F9</vt:lpstr>
      <vt:lpstr>_89h_E10</vt:lpstr>
      <vt:lpstr>_89h_E11</vt:lpstr>
      <vt:lpstr>_89h_E12</vt:lpstr>
      <vt:lpstr>_89h_E13</vt:lpstr>
      <vt:lpstr>_89h_E14</vt:lpstr>
      <vt:lpstr>_89h_E15</vt:lpstr>
      <vt:lpstr>_89h_E16</vt:lpstr>
      <vt:lpstr>_89h_E17</vt:lpstr>
      <vt:lpstr>_89h_E18</vt:lpstr>
      <vt:lpstr>_89h_E19</vt:lpstr>
      <vt:lpstr>_89h_E20</vt:lpstr>
      <vt:lpstr>_89h_E21</vt:lpstr>
      <vt:lpstr>_89h_E22</vt:lpstr>
      <vt:lpstr>_89h_E23</vt:lpstr>
      <vt:lpstr>_89h_E24</vt:lpstr>
      <vt:lpstr>_89h_E25</vt:lpstr>
      <vt:lpstr>_89h_E26</vt:lpstr>
      <vt:lpstr>_89h_E27</vt:lpstr>
      <vt:lpstr>_89h_E28</vt:lpstr>
      <vt:lpstr>_89h_E29</vt:lpstr>
      <vt:lpstr>_89h_E30</vt:lpstr>
      <vt:lpstr>_89h_E31</vt:lpstr>
      <vt:lpstr>_89h_E32</vt:lpstr>
      <vt:lpstr>_89h_E33</vt:lpstr>
      <vt:lpstr>_89h_E34</vt:lpstr>
      <vt:lpstr>_89h_E35</vt:lpstr>
      <vt:lpstr>_89h_E36</vt:lpstr>
      <vt:lpstr>_89h_E37</vt:lpstr>
      <vt:lpstr>_89h_E38</vt:lpstr>
      <vt:lpstr>_89h_E39</vt:lpstr>
      <vt:lpstr>_89h_E40</vt:lpstr>
      <vt:lpstr>_89h_E41</vt:lpstr>
      <vt:lpstr>_89h_E42</vt:lpstr>
      <vt:lpstr>_89h_E43</vt:lpstr>
      <vt:lpstr>_89h_E44</vt:lpstr>
      <vt:lpstr>_89h_E45</vt:lpstr>
      <vt:lpstr>_89h_E46</vt:lpstr>
      <vt:lpstr>_89h_E47</vt:lpstr>
      <vt:lpstr>_89h_E48</vt:lpstr>
      <vt:lpstr>_89h_E49</vt:lpstr>
      <vt:lpstr>_89h_E50</vt:lpstr>
      <vt:lpstr>_89h_E51</vt:lpstr>
      <vt:lpstr>_89h_E53</vt:lpstr>
      <vt:lpstr>_89h_E54</vt:lpstr>
      <vt:lpstr>_89h_E55</vt:lpstr>
      <vt:lpstr>_89h_E56</vt:lpstr>
      <vt:lpstr>_89h_E57</vt:lpstr>
      <vt:lpstr>_89h_E58</vt:lpstr>
      <vt:lpstr>_89h_E59</vt:lpstr>
      <vt:lpstr>_89h_E60</vt:lpstr>
      <vt:lpstr>_89h_E61</vt:lpstr>
      <vt:lpstr>_89h_E62</vt:lpstr>
      <vt:lpstr>_89h_E64</vt:lpstr>
      <vt:lpstr>_89h_E65</vt:lpstr>
      <vt:lpstr>_89h_E7</vt:lpstr>
      <vt:lpstr>_89h_E8</vt:lpstr>
      <vt:lpstr>_89h_E9</vt:lpstr>
      <vt:lpstr>_89h_F10</vt:lpstr>
      <vt:lpstr>_89h_F11</vt:lpstr>
      <vt:lpstr>_89h_F12</vt:lpstr>
      <vt:lpstr>_89h_F13</vt:lpstr>
      <vt:lpstr>_89h_F14</vt:lpstr>
      <vt:lpstr>_89h_F15</vt:lpstr>
      <vt:lpstr>_89h_F16</vt:lpstr>
      <vt:lpstr>_89h_F17</vt:lpstr>
      <vt:lpstr>_89h_F18</vt:lpstr>
      <vt:lpstr>_89h_F19</vt:lpstr>
      <vt:lpstr>_89h_F20</vt:lpstr>
      <vt:lpstr>_89h_F21</vt:lpstr>
      <vt:lpstr>_89h_F22</vt:lpstr>
      <vt:lpstr>_89h_F23</vt:lpstr>
      <vt:lpstr>_89h_F24</vt:lpstr>
      <vt:lpstr>_89h_F25</vt:lpstr>
      <vt:lpstr>_89h_F26</vt:lpstr>
      <vt:lpstr>_89h_F27</vt:lpstr>
      <vt:lpstr>_89h_F28</vt:lpstr>
      <vt:lpstr>_89h_F29</vt:lpstr>
      <vt:lpstr>_89h_F30</vt:lpstr>
      <vt:lpstr>_89h_F31</vt:lpstr>
      <vt:lpstr>_89h_F32</vt:lpstr>
      <vt:lpstr>_89h_F33</vt:lpstr>
      <vt:lpstr>_89h_F34</vt:lpstr>
      <vt:lpstr>_89h_F35</vt:lpstr>
      <vt:lpstr>_89h_F36</vt:lpstr>
      <vt:lpstr>_89h_F37</vt:lpstr>
      <vt:lpstr>_89h_F38</vt:lpstr>
      <vt:lpstr>_89h_F39</vt:lpstr>
      <vt:lpstr>_89h_F40</vt:lpstr>
      <vt:lpstr>_89h_F41</vt:lpstr>
      <vt:lpstr>_89h_F42</vt:lpstr>
      <vt:lpstr>_89h_F43</vt:lpstr>
      <vt:lpstr>_89h_F44</vt:lpstr>
      <vt:lpstr>_89h_F45</vt:lpstr>
      <vt:lpstr>_89h_F46</vt:lpstr>
      <vt:lpstr>_89h_F47</vt:lpstr>
      <vt:lpstr>_89h_F48</vt:lpstr>
      <vt:lpstr>_89h_F49</vt:lpstr>
      <vt:lpstr>_89h_F50</vt:lpstr>
      <vt:lpstr>_89h_F51</vt:lpstr>
      <vt:lpstr>_89h_F53</vt:lpstr>
      <vt:lpstr>_89h_F54</vt:lpstr>
      <vt:lpstr>_89h_F55</vt:lpstr>
      <vt:lpstr>_89h_F56</vt:lpstr>
      <vt:lpstr>_89h_F57</vt:lpstr>
      <vt:lpstr>_89h_F58</vt:lpstr>
      <vt:lpstr>_89h_F59</vt:lpstr>
      <vt:lpstr>_89h_F60</vt:lpstr>
      <vt:lpstr>_89h_F61</vt:lpstr>
      <vt:lpstr>_89h_F62</vt:lpstr>
      <vt:lpstr>_89h_F64</vt:lpstr>
      <vt:lpstr>_89h_F65</vt:lpstr>
      <vt:lpstr>_89h_F7</vt:lpstr>
      <vt:lpstr>_89h_F8</vt:lpstr>
      <vt:lpstr>_89h_F9</vt:lpstr>
      <vt:lpstr>_8h_E10</vt:lpstr>
      <vt:lpstr>_8h_E11</vt:lpstr>
      <vt:lpstr>_8h_E12</vt:lpstr>
      <vt:lpstr>_8h_E13</vt:lpstr>
      <vt:lpstr>_8h_E14</vt:lpstr>
      <vt:lpstr>_8h_E15</vt:lpstr>
      <vt:lpstr>_8h_E16</vt:lpstr>
      <vt:lpstr>_8h_E17</vt:lpstr>
      <vt:lpstr>_8h_E18</vt:lpstr>
      <vt:lpstr>_8h_E19</vt:lpstr>
      <vt:lpstr>_8h_E20</vt:lpstr>
      <vt:lpstr>_8h_E21</vt:lpstr>
      <vt:lpstr>_8h_E22</vt:lpstr>
      <vt:lpstr>_8h_E23</vt:lpstr>
      <vt:lpstr>_8h_E24</vt:lpstr>
      <vt:lpstr>_8h_E25</vt:lpstr>
      <vt:lpstr>_8h_E26</vt:lpstr>
      <vt:lpstr>_8h_E27</vt:lpstr>
      <vt:lpstr>_8h_E28</vt:lpstr>
      <vt:lpstr>_8h_E29</vt:lpstr>
      <vt:lpstr>_8h_E30</vt:lpstr>
      <vt:lpstr>_8h_E31</vt:lpstr>
      <vt:lpstr>_8h_E32</vt:lpstr>
      <vt:lpstr>_8h_E33</vt:lpstr>
      <vt:lpstr>_8h_E34</vt:lpstr>
      <vt:lpstr>_8h_E35</vt:lpstr>
      <vt:lpstr>_8h_E36</vt:lpstr>
      <vt:lpstr>_8h_E37</vt:lpstr>
      <vt:lpstr>_8h_E38</vt:lpstr>
      <vt:lpstr>_8h_E39</vt:lpstr>
      <vt:lpstr>_8h_E40</vt:lpstr>
      <vt:lpstr>_8h_E41</vt:lpstr>
      <vt:lpstr>_8h_E42</vt:lpstr>
      <vt:lpstr>_8h_E43</vt:lpstr>
      <vt:lpstr>_8h_E44</vt:lpstr>
      <vt:lpstr>_8h_E45</vt:lpstr>
      <vt:lpstr>_8h_E46</vt:lpstr>
      <vt:lpstr>_8h_E47</vt:lpstr>
      <vt:lpstr>_8h_E48</vt:lpstr>
      <vt:lpstr>_8h_E49</vt:lpstr>
      <vt:lpstr>_8h_E50</vt:lpstr>
      <vt:lpstr>_8h_E51</vt:lpstr>
      <vt:lpstr>_8h_E53</vt:lpstr>
      <vt:lpstr>_8h_E54</vt:lpstr>
      <vt:lpstr>_8h_E55</vt:lpstr>
      <vt:lpstr>_8h_E56</vt:lpstr>
      <vt:lpstr>_8h_E57</vt:lpstr>
      <vt:lpstr>_8h_E58</vt:lpstr>
      <vt:lpstr>_8h_E59</vt:lpstr>
      <vt:lpstr>_8h_E60</vt:lpstr>
      <vt:lpstr>_8h_E61</vt:lpstr>
      <vt:lpstr>_8h_E62</vt:lpstr>
      <vt:lpstr>_8h_E64</vt:lpstr>
      <vt:lpstr>_8h_E65</vt:lpstr>
      <vt:lpstr>_8h_E7</vt:lpstr>
      <vt:lpstr>_8h_E8</vt:lpstr>
      <vt:lpstr>_8h_E9</vt:lpstr>
      <vt:lpstr>_8h_F10</vt:lpstr>
      <vt:lpstr>_8h_F11</vt:lpstr>
      <vt:lpstr>_8h_F12</vt:lpstr>
      <vt:lpstr>_8h_F13</vt:lpstr>
      <vt:lpstr>_8h_F14</vt:lpstr>
      <vt:lpstr>_8h_F15</vt:lpstr>
      <vt:lpstr>_8h_F16</vt:lpstr>
      <vt:lpstr>_8h_F17</vt:lpstr>
      <vt:lpstr>_8h_F18</vt:lpstr>
      <vt:lpstr>_8h_F19</vt:lpstr>
      <vt:lpstr>_8h_F20</vt:lpstr>
      <vt:lpstr>_8h_F21</vt:lpstr>
      <vt:lpstr>_8h_F22</vt:lpstr>
      <vt:lpstr>_8h_F23</vt:lpstr>
      <vt:lpstr>_8h_F24</vt:lpstr>
      <vt:lpstr>_8h_F25</vt:lpstr>
      <vt:lpstr>_8h_F26</vt:lpstr>
      <vt:lpstr>_8h_F27</vt:lpstr>
      <vt:lpstr>_8h_F28</vt:lpstr>
      <vt:lpstr>_8h_F29</vt:lpstr>
      <vt:lpstr>_8h_F30</vt:lpstr>
      <vt:lpstr>_8h_F31</vt:lpstr>
      <vt:lpstr>_8h_F32</vt:lpstr>
      <vt:lpstr>_8h_F33</vt:lpstr>
      <vt:lpstr>_8h_F34</vt:lpstr>
      <vt:lpstr>_8h_F35</vt:lpstr>
      <vt:lpstr>_8h_F36</vt:lpstr>
      <vt:lpstr>_8h_F37</vt:lpstr>
      <vt:lpstr>_8h_F38</vt:lpstr>
      <vt:lpstr>_8h_F39</vt:lpstr>
      <vt:lpstr>_8h_F40</vt:lpstr>
      <vt:lpstr>_8h_F41</vt:lpstr>
      <vt:lpstr>_8h_F42</vt:lpstr>
      <vt:lpstr>_8h_F43</vt:lpstr>
      <vt:lpstr>_8h_F44</vt:lpstr>
      <vt:lpstr>_8h_F45</vt:lpstr>
      <vt:lpstr>_8h_F46</vt:lpstr>
      <vt:lpstr>_8h_F47</vt:lpstr>
      <vt:lpstr>_8h_F48</vt:lpstr>
      <vt:lpstr>_8h_F49</vt:lpstr>
      <vt:lpstr>_8h_F50</vt:lpstr>
      <vt:lpstr>_8h_F51</vt:lpstr>
      <vt:lpstr>_8h_F53</vt:lpstr>
      <vt:lpstr>_8h_F54</vt:lpstr>
      <vt:lpstr>_8h_F55</vt:lpstr>
      <vt:lpstr>_8h_F56</vt:lpstr>
      <vt:lpstr>_8h_F57</vt:lpstr>
      <vt:lpstr>_8h_F58</vt:lpstr>
      <vt:lpstr>_8h_F59</vt:lpstr>
      <vt:lpstr>_8h_F60</vt:lpstr>
      <vt:lpstr>_8h_F61</vt:lpstr>
      <vt:lpstr>_8h_F62</vt:lpstr>
      <vt:lpstr>_8h_F64</vt:lpstr>
      <vt:lpstr>_8h_F65</vt:lpstr>
      <vt:lpstr>_8h_F7</vt:lpstr>
      <vt:lpstr>_8h_F8</vt:lpstr>
      <vt:lpstr>_8h_F9</vt:lpstr>
      <vt:lpstr>_90h_E10</vt:lpstr>
      <vt:lpstr>_90h_E11</vt:lpstr>
      <vt:lpstr>_90h_E12</vt:lpstr>
      <vt:lpstr>_90h_E13</vt:lpstr>
      <vt:lpstr>_90h_E14</vt:lpstr>
      <vt:lpstr>_90h_E15</vt:lpstr>
      <vt:lpstr>_90h_E16</vt:lpstr>
      <vt:lpstr>_90h_E17</vt:lpstr>
      <vt:lpstr>_90h_E18</vt:lpstr>
      <vt:lpstr>_90h_E19</vt:lpstr>
      <vt:lpstr>_90h_E20</vt:lpstr>
      <vt:lpstr>_90h_E21</vt:lpstr>
      <vt:lpstr>_90h_E22</vt:lpstr>
      <vt:lpstr>_90h_E23</vt:lpstr>
      <vt:lpstr>_90h_E24</vt:lpstr>
      <vt:lpstr>_90h_E25</vt:lpstr>
      <vt:lpstr>_90h_E26</vt:lpstr>
      <vt:lpstr>_90h_E27</vt:lpstr>
      <vt:lpstr>_90h_E28</vt:lpstr>
      <vt:lpstr>_90h_E29</vt:lpstr>
      <vt:lpstr>_90h_E30</vt:lpstr>
      <vt:lpstr>_90h_E31</vt:lpstr>
      <vt:lpstr>_90h_E32</vt:lpstr>
      <vt:lpstr>_90h_E33</vt:lpstr>
      <vt:lpstr>_90h_E34</vt:lpstr>
      <vt:lpstr>_90h_E35</vt:lpstr>
      <vt:lpstr>_90h_E36</vt:lpstr>
      <vt:lpstr>_90h_E37</vt:lpstr>
      <vt:lpstr>_90h_E38</vt:lpstr>
      <vt:lpstr>_90h_E39</vt:lpstr>
      <vt:lpstr>_90h_E40</vt:lpstr>
      <vt:lpstr>_90h_E41</vt:lpstr>
      <vt:lpstr>_90h_E42</vt:lpstr>
      <vt:lpstr>_90h_E43</vt:lpstr>
      <vt:lpstr>_90h_E44</vt:lpstr>
      <vt:lpstr>_90h_E45</vt:lpstr>
      <vt:lpstr>_90h_E46</vt:lpstr>
      <vt:lpstr>_90h_E47</vt:lpstr>
      <vt:lpstr>_90h_E48</vt:lpstr>
      <vt:lpstr>_90h_E49</vt:lpstr>
      <vt:lpstr>_90h_E50</vt:lpstr>
      <vt:lpstr>_90h_E51</vt:lpstr>
      <vt:lpstr>_90h_E53</vt:lpstr>
      <vt:lpstr>_90h_E54</vt:lpstr>
      <vt:lpstr>_90h_E55</vt:lpstr>
      <vt:lpstr>_90h_E56</vt:lpstr>
      <vt:lpstr>_90h_E57</vt:lpstr>
      <vt:lpstr>_90h_E58</vt:lpstr>
      <vt:lpstr>_90h_E59</vt:lpstr>
      <vt:lpstr>_90h_E60</vt:lpstr>
      <vt:lpstr>_90h_E61</vt:lpstr>
      <vt:lpstr>_90h_E62</vt:lpstr>
      <vt:lpstr>_90h_E64</vt:lpstr>
      <vt:lpstr>_90h_E65</vt:lpstr>
      <vt:lpstr>_90h_E7</vt:lpstr>
      <vt:lpstr>_90h_E8</vt:lpstr>
      <vt:lpstr>_90h_E9</vt:lpstr>
      <vt:lpstr>_90h_F10</vt:lpstr>
      <vt:lpstr>_90h_F11</vt:lpstr>
      <vt:lpstr>_90h_F12</vt:lpstr>
      <vt:lpstr>_90h_F13</vt:lpstr>
      <vt:lpstr>_90h_F14</vt:lpstr>
      <vt:lpstr>_90h_F15</vt:lpstr>
      <vt:lpstr>_90h_F16</vt:lpstr>
      <vt:lpstr>_90h_F17</vt:lpstr>
      <vt:lpstr>_90h_F18</vt:lpstr>
      <vt:lpstr>_90h_F19</vt:lpstr>
      <vt:lpstr>_90h_F20</vt:lpstr>
      <vt:lpstr>_90h_F21</vt:lpstr>
      <vt:lpstr>_90h_F22</vt:lpstr>
      <vt:lpstr>_90h_F23</vt:lpstr>
      <vt:lpstr>_90h_F24</vt:lpstr>
      <vt:lpstr>_90h_F25</vt:lpstr>
      <vt:lpstr>_90h_F26</vt:lpstr>
      <vt:lpstr>_90h_F27</vt:lpstr>
      <vt:lpstr>_90h_F28</vt:lpstr>
      <vt:lpstr>_90h_F29</vt:lpstr>
      <vt:lpstr>_90h_F30</vt:lpstr>
      <vt:lpstr>_90h_F31</vt:lpstr>
      <vt:lpstr>_90h_F32</vt:lpstr>
      <vt:lpstr>_90h_F33</vt:lpstr>
      <vt:lpstr>_90h_F34</vt:lpstr>
      <vt:lpstr>_90h_F35</vt:lpstr>
      <vt:lpstr>_90h_F36</vt:lpstr>
      <vt:lpstr>_90h_F37</vt:lpstr>
      <vt:lpstr>_90h_F38</vt:lpstr>
      <vt:lpstr>_90h_F39</vt:lpstr>
      <vt:lpstr>_90h_F40</vt:lpstr>
      <vt:lpstr>_90h_F41</vt:lpstr>
      <vt:lpstr>_90h_F42</vt:lpstr>
      <vt:lpstr>_90h_F43</vt:lpstr>
      <vt:lpstr>_90h_F44</vt:lpstr>
      <vt:lpstr>_90h_F45</vt:lpstr>
      <vt:lpstr>_90h_F46</vt:lpstr>
      <vt:lpstr>_90h_F47</vt:lpstr>
      <vt:lpstr>_90h_F48</vt:lpstr>
      <vt:lpstr>_90h_F49</vt:lpstr>
      <vt:lpstr>_90h_F50</vt:lpstr>
      <vt:lpstr>_90h_F51</vt:lpstr>
      <vt:lpstr>_90h_F53</vt:lpstr>
      <vt:lpstr>_90h_F54</vt:lpstr>
      <vt:lpstr>_90h_F55</vt:lpstr>
      <vt:lpstr>_90h_F56</vt:lpstr>
      <vt:lpstr>_90h_F57</vt:lpstr>
      <vt:lpstr>_90h_F58</vt:lpstr>
      <vt:lpstr>_90h_F59</vt:lpstr>
      <vt:lpstr>_90h_F60</vt:lpstr>
      <vt:lpstr>_90h_F61</vt:lpstr>
      <vt:lpstr>_90h_F62</vt:lpstr>
      <vt:lpstr>_90h_F64</vt:lpstr>
      <vt:lpstr>_90h_F65</vt:lpstr>
      <vt:lpstr>_90h_F7</vt:lpstr>
      <vt:lpstr>_90h_F8</vt:lpstr>
      <vt:lpstr>_90h_F9</vt:lpstr>
      <vt:lpstr>_91h_E10</vt:lpstr>
      <vt:lpstr>_91h_E11</vt:lpstr>
      <vt:lpstr>_91h_E12</vt:lpstr>
      <vt:lpstr>_91h_E13</vt:lpstr>
      <vt:lpstr>_91h_E14</vt:lpstr>
      <vt:lpstr>_91h_E15</vt:lpstr>
      <vt:lpstr>_91h_E16</vt:lpstr>
      <vt:lpstr>_91h_E17</vt:lpstr>
      <vt:lpstr>_91h_E18</vt:lpstr>
      <vt:lpstr>_91h_E19</vt:lpstr>
      <vt:lpstr>_91h_E20</vt:lpstr>
      <vt:lpstr>_91h_E21</vt:lpstr>
      <vt:lpstr>_91h_E22</vt:lpstr>
      <vt:lpstr>_91h_E23</vt:lpstr>
      <vt:lpstr>_91h_E24</vt:lpstr>
      <vt:lpstr>_91h_E25</vt:lpstr>
      <vt:lpstr>_91h_E26</vt:lpstr>
      <vt:lpstr>_91h_E27</vt:lpstr>
      <vt:lpstr>_91h_E28</vt:lpstr>
      <vt:lpstr>_91h_E29</vt:lpstr>
      <vt:lpstr>_91h_E30</vt:lpstr>
      <vt:lpstr>_91h_E31</vt:lpstr>
      <vt:lpstr>_91h_E32</vt:lpstr>
      <vt:lpstr>_91h_E33</vt:lpstr>
      <vt:lpstr>_91h_E34</vt:lpstr>
      <vt:lpstr>_91h_E35</vt:lpstr>
      <vt:lpstr>_91h_E36</vt:lpstr>
      <vt:lpstr>_91h_E37</vt:lpstr>
      <vt:lpstr>_91h_E38</vt:lpstr>
      <vt:lpstr>_91h_E39</vt:lpstr>
      <vt:lpstr>_91h_E40</vt:lpstr>
      <vt:lpstr>_91h_E41</vt:lpstr>
      <vt:lpstr>_91h_E42</vt:lpstr>
      <vt:lpstr>_91h_E43</vt:lpstr>
      <vt:lpstr>_91h_E44</vt:lpstr>
      <vt:lpstr>_91h_E45</vt:lpstr>
      <vt:lpstr>_91h_E46</vt:lpstr>
      <vt:lpstr>_91h_E47</vt:lpstr>
      <vt:lpstr>_91h_E48</vt:lpstr>
      <vt:lpstr>_91h_E49</vt:lpstr>
      <vt:lpstr>_91h_E50</vt:lpstr>
      <vt:lpstr>_91h_E51</vt:lpstr>
      <vt:lpstr>_91h_E53</vt:lpstr>
      <vt:lpstr>_91h_E54</vt:lpstr>
      <vt:lpstr>_91h_E55</vt:lpstr>
      <vt:lpstr>_91h_E56</vt:lpstr>
      <vt:lpstr>_91h_E57</vt:lpstr>
      <vt:lpstr>_91h_E58</vt:lpstr>
      <vt:lpstr>_91h_E59</vt:lpstr>
      <vt:lpstr>_91h_E60</vt:lpstr>
      <vt:lpstr>_91h_E61</vt:lpstr>
      <vt:lpstr>_91h_E62</vt:lpstr>
      <vt:lpstr>_91h_E64</vt:lpstr>
      <vt:lpstr>_91h_E65</vt:lpstr>
      <vt:lpstr>_91h_E7</vt:lpstr>
      <vt:lpstr>_91h_E8</vt:lpstr>
      <vt:lpstr>_91h_E9</vt:lpstr>
      <vt:lpstr>_91h_F10</vt:lpstr>
      <vt:lpstr>_91h_F11</vt:lpstr>
      <vt:lpstr>_91h_F12</vt:lpstr>
      <vt:lpstr>_91h_F13</vt:lpstr>
      <vt:lpstr>_91h_F14</vt:lpstr>
      <vt:lpstr>_91h_F15</vt:lpstr>
      <vt:lpstr>_91h_F16</vt:lpstr>
      <vt:lpstr>_91h_F17</vt:lpstr>
      <vt:lpstr>_91h_F18</vt:lpstr>
      <vt:lpstr>_91h_F19</vt:lpstr>
      <vt:lpstr>_91h_F20</vt:lpstr>
      <vt:lpstr>_91h_F21</vt:lpstr>
      <vt:lpstr>_91h_F22</vt:lpstr>
      <vt:lpstr>_91h_F23</vt:lpstr>
      <vt:lpstr>_91h_F24</vt:lpstr>
      <vt:lpstr>_91h_F25</vt:lpstr>
      <vt:lpstr>_91h_F26</vt:lpstr>
      <vt:lpstr>_91h_F27</vt:lpstr>
      <vt:lpstr>_91h_F28</vt:lpstr>
      <vt:lpstr>_91h_F29</vt:lpstr>
      <vt:lpstr>_91h_F30</vt:lpstr>
      <vt:lpstr>_91h_F31</vt:lpstr>
      <vt:lpstr>_91h_F32</vt:lpstr>
      <vt:lpstr>_91h_F33</vt:lpstr>
      <vt:lpstr>_91h_F34</vt:lpstr>
      <vt:lpstr>_91h_F35</vt:lpstr>
      <vt:lpstr>_91h_F36</vt:lpstr>
      <vt:lpstr>_91h_F37</vt:lpstr>
      <vt:lpstr>_91h_F38</vt:lpstr>
      <vt:lpstr>_91h_F39</vt:lpstr>
      <vt:lpstr>_91h_F40</vt:lpstr>
      <vt:lpstr>_91h_F41</vt:lpstr>
      <vt:lpstr>_91h_F42</vt:lpstr>
      <vt:lpstr>_91h_F43</vt:lpstr>
      <vt:lpstr>_91h_F44</vt:lpstr>
      <vt:lpstr>_91h_F45</vt:lpstr>
      <vt:lpstr>_91h_F46</vt:lpstr>
      <vt:lpstr>_91h_F47</vt:lpstr>
      <vt:lpstr>_91h_F48</vt:lpstr>
      <vt:lpstr>_91h_F49</vt:lpstr>
      <vt:lpstr>_91h_F50</vt:lpstr>
      <vt:lpstr>_91h_F51</vt:lpstr>
      <vt:lpstr>_91h_F53</vt:lpstr>
      <vt:lpstr>_91h_F54</vt:lpstr>
      <vt:lpstr>_91h_F55</vt:lpstr>
      <vt:lpstr>_91h_F56</vt:lpstr>
      <vt:lpstr>_91h_F57</vt:lpstr>
      <vt:lpstr>_91h_F58</vt:lpstr>
      <vt:lpstr>_91h_F59</vt:lpstr>
      <vt:lpstr>_91h_F60</vt:lpstr>
      <vt:lpstr>_91h_F61</vt:lpstr>
      <vt:lpstr>_91h_F62</vt:lpstr>
      <vt:lpstr>_91h_F64</vt:lpstr>
      <vt:lpstr>_91h_F65</vt:lpstr>
      <vt:lpstr>_91h_F7</vt:lpstr>
      <vt:lpstr>_91h_F8</vt:lpstr>
      <vt:lpstr>_91h_F9</vt:lpstr>
      <vt:lpstr>_92h_E10</vt:lpstr>
      <vt:lpstr>_92h_E11</vt:lpstr>
      <vt:lpstr>_92h_E12</vt:lpstr>
      <vt:lpstr>_92h_E13</vt:lpstr>
      <vt:lpstr>_92h_E14</vt:lpstr>
      <vt:lpstr>_92h_E15</vt:lpstr>
      <vt:lpstr>_92h_E16</vt:lpstr>
      <vt:lpstr>_92h_E17</vt:lpstr>
      <vt:lpstr>_92h_E18</vt:lpstr>
      <vt:lpstr>_92h_E19</vt:lpstr>
      <vt:lpstr>_92h_E20</vt:lpstr>
      <vt:lpstr>_92h_E21</vt:lpstr>
      <vt:lpstr>_92h_E22</vt:lpstr>
      <vt:lpstr>_92h_E23</vt:lpstr>
      <vt:lpstr>_92h_E24</vt:lpstr>
      <vt:lpstr>_92h_E25</vt:lpstr>
      <vt:lpstr>_92h_E26</vt:lpstr>
      <vt:lpstr>_92h_E27</vt:lpstr>
      <vt:lpstr>_92h_E28</vt:lpstr>
      <vt:lpstr>_92h_E29</vt:lpstr>
      <vt:lpstr>_92h_E30</vt:lpstr>
      <vt:lpstr>_92h_E31</vt:lpstr>
      <vt:lpstr>_92h_E32</vt:lpstr>
      <vt:lpstr>_92h_E33</vt:lpstr>
      <vt:lpstr>_92h_E34</vt:lpstr>
      <vt:lpstr>_92h_E35</vt:lpstr>
      <vt:lpstr>_92h_E36</vt:lpstr>
      <vt:lpstr>_92h_E37</vt:lpstr>
      <vt:lpstr>_92h_E38</vt:lpstr>
      <vt:lpstr>_92h_E39</vt:lpstr>
      <vt:lpstr>_92h_E40</vt:lpstr>
      <vt:lpstr>_92h_E41</vt:lpstr>
      <vt:lpstr>_92h_E42</vt:lpstr>
      <vt:lpstr>_92h_E43</vt:lpstr>
      <vt:lpstr>_92h_E44</vt:lpstr>
      <vt:lpstr>_92h_E45</vt:lpstr>
      <vt:lpstr>_92h_E46</vt:lpstr>
      <vt:lpstr>_92h_E47</vt:lpstr>
      <vt:lpstr>_92h_E48</vt:lpstr>
      <vt:lpstr>_92h_E49</vt:lpstr>
      <vt:lpstr>_92h_E50</vt:lpstr>
      <vt:lpstr>_92h_E51</vt:lpstr>
      <vt:lpstr>_92h_E53</vt:lpstr>
      <vt:lpstr>_92h_E54</vt:lpstr>
      <vt:lpstr>_92h_E55</vt:lpstr>
      <vt:lpstr>_92h_E56</vt:lpstr>
      <vt:lpstr>_92h_E57</vt:lpstr>
      <vt:lpstr>_92h_E58</vt:lpstr>
      <vt:lpstr>_92h_E59</vt:lpstr>
      <vt:lpstr>_92h_E60</vt:lpstr>
      <vt:lpstr>_92h_E61</vt:lpstr>
      <vt:lpstr>_92h_E62</vt:lpstr>
      <vt:lpstr>_92h_E64</vt:lpstr>
      <vt:lpstr>_92h_E65</vt:lpstr>
      <vt:lpstr>_92h_E7</vt:lpstr>
      <vt:lpstr>_92h_E8</vt:lpstr>
      <vt:lpstr>_92h_E9</vt:lpstr>
      <vt:lpstr>_92h_F10</vt:lpstr>
      <vt:lpstr>_92h_F11</vt:lpstr>
      <vt:lpstr>_92h_F12</vt:lpstr>
      <vt:lpstr>_92h_F13</vt:lpstr>
      <vt:lpstr>_92h_F14</vt:lpstr>
      <vt:lpstr>_92h_F15</vt:lpstr>
      <vt:lpstr>_92h_F16</vt:lpstr>
      <vt:lpstr>_92h_F17</vt:lpstr>
      <vt:lpstr>_92h_F18</vt:lpstr>
      <vt:lpstr>_92h_F19</vt:lpstr>
      <vt:lpstr>_92h_F20</vt:lpstr>
      <vt:lpstr>_92h_F21</vt:lpstr>
      <vt:lpstr>_92h_F22</vt:lpstr>
      <vt:lpstr>_92h_F23</vt:lpstr>
      <vt:lpstr>_92h_F24</vt:lpstr>
      <vt:lpstr>_92h_F25</vt:lpstr>
      <vt:lpstr>_92h_F26</vt:lpstr>
      <vt:lpstr>_92h_F27</vt:lpstr>
      <vt:lpstr>_92h_F28</vt:lpstr>
      <vt:lpstr>_92h_F29</vt:lpstr>
      <vt:lpstr>_92h_F30</vt:lpstr>
      <vt:lpstr>_92h_F31</vt:lpstr>
      <vt:lpstr>_92h_F32</vt:lpstr>
      <vt:lpstr>_92h_F33</vt:lpstr>
      <vt:lpstr>_92h_F34</vt:lpstr>
      <vt:lpstr>_92h_F35</vt:lpstr>
      <vt:lpstr>_92h_F36</vt:lpstr>
      <vt:lpstr>_92h_F37</vt:lpstr>
      <vt:lpstr>_92h_F38</vt:lpstr>
      <vt:lpstr>_92h_F39</vt:lpstr>
      <vt:lpstr>_92h_F40</vt:lpstr>
      <vt:lpstr>_92h_F41</vt:lpstr>
      <vt:lpstr>_92h_F42</vt:lpstr>
      <vt:lpstr>_92h_F43</vt:lpstr>
      <vt:lpstr>_92h_F44</vt:lpstr>
      <vt:lpstr>_92h_F45</vt:lpstr>
      <vt:lpstr>_92h_F46</vt:lpstr>
      <vt:lpstr>_92h_F47</vt:lpstr>
      <vt:lpstr>_92h_F48</vt:lpstr>
      <vt:lpstr>_92h_F49</vt:lpstr>
      <vt:lpstr>_92h_F50</vt:lpstr>
      <vt:lpstr>_92h_F51</vt:lpstr>
      <vt:lpstr>_92h_F53</vt:lpstr>
      <vt:lpstr>_92h_F54</vt:lpstr>
      <vt:lpstr>_92h_F55</vt:lpstr>
      <vt:lpstr>_92h_F56</vt:lpstr>
      <vt:lpstr>_92h_F57</vt:lpstr>
      <vt:lpstr>_92h_F58</vt:lpstr>
      <vt:lpstr>_92h_F59</vt:lpstr>
      <vt:lpstr>_92h_F60</vt:lpstr>
      <vt:lpstr>_92h_F61</vt:lpstr>
      <vt:lpstr>_92h_F62</vt:lpstr>
      <vt:lpstr>_92h_F64</vt:lpstr>
      <vt:lpstr>_92h_F65</vt:lpstr>
      <vt:lpstr>_92h_F7</vt:lpstr>
      <vt:lpstr>_92h_F8</vt:lpstr>
      <vt:lpstr>_92h_F9</vt:lpstr>
      <vt:lpstr>_93h_E10</vt:lpstr>
      <vt:lpstr>_93h_E11</vt:lpstr>
      <vt:lpstr>_93h_E12</vt:lpstr>
      <vt:lpstr>_93h_E13</vt:lpstr>
      <vt:lpstr>_93h_E14</vt:lpstr>
      <vt:lpstr>_93h_E15</vt:lpstr>
      <vt:lpstr>_93h_E16</vt:lpstr>
      <vt:lpstr>_93h_E17</vt:lpstr>
      <vt:lpstr>_93h_E18</vt:lpstr>
      <vt:lpstr>_93h_E19</vt:lpstr>
      <vt:lpstr>_93h_E20</vt:lpstr>
      <vt:lpstr>_93h_E21</vt:lpstr>
      <vt:lpstr>_93h_E22</vt:lpstr>
      <vt:lpstr>_93h_E23</vt:lpstr>
      <vt:lpstr>_93h_E24</vt:lpstr>
      <vt:lpstr>_93h_E25</vt:lpstr>
      <vt:lpstr>_93h_E26</vt:lpstr>
      <vt:lpstr>_93h_E27</vt:lpstr>
      <vt:lpstr>_93h_E28</vt:lpstr>
      <vt:lpstr>_93h_E29</vt:lpstr>
      <vt:lpstr>_93h_E30</vt:lpstr>
      <vt:lpstr>_93h_E31</vt:lpstr>
      <vt:lpstr>_93h_E32</vt:lpstr>
      <vt:lpstr>_93h_E33</vt:lpstr>
      <vt:lpstr>_93h_E34</vt:lpstr>
      <vt:lpstr>_93h_E35</vt:lpstr>
      <vt:lpstr>_93h_E36</vt:lpstr>
      <vt:lpstr>_93h_E37</vt:lpstr>
      <vt:lpstr>_93h_E38</vt:lpstr>
      <vt:lpstr>_93h_E39</vt:lpstr>
      <vt:lpstr>_93h_E40</vt:lpstr>
      <vt:lpstr>_93h_E41</vt:lpstr>
      <vt:lpstr>_93h_E42</vt:lpstr>
      <vt:lpstr>_93h_E43</vt:lpstr>
      <vt:lpstr>_93h_E44</vt:lpstr>
      <vt:lpstr>_93h_E45</vt:lpstr>
      <vt:lpstr>_93h_E46</vt:lpstr>
      <vt:lpstr>_93h_E47</vt:lpstr>
      <vt:lpstr>_93h_E48</vt:lpstr>
      <vt:lpstr>_93h_E49</vt:lpstr>
      <vt:lpstr>_93h_E50</vt:lpstr>
      <vt:lpstr>_93h_E51</vt:lpstr>
      <vt:lpstr>_93h_E53</vt:lpstr>
      <vt:lpstr>_93h_E54</vt:lpstr>
      <vt:lpstr>_93h_E55</vt:lpstr>
      <vt:lpstr>_93h_E56</vt:lpstr>
      <vt:lpstr>_93h_E57</vt:lpstr>
      <vt:lpstr>_93h_E58</vt:lpstr>
      <vt:lpstr>_93h_E59</vt:lpstr>
      <vt:lpstr>_93h_E60</vt:lpstr>
      <vt:lpstr>_93h_E61</vt:lpstr>
      <vt:lpstr>_93h_E62</vt:lpstr>
      <vt:lpstr>_93h_E64</vt:lpstr>
      <vt:lpstr>_93h_E65</vt:lpstr>
      <vt:lpstr>_93h_E7</vt:lpstr>
      <vt:lpstr>_93h_E8</vt:lpstr>
      <vt:lpstr>_93h_E9</vt:lpstr>
      <vt:lpstr>_93h_F10</vt:lpstr>
      <vt:lpstr>_93h_F11</vt:lpstr>
      <vt:lpstr>_93h_F12</vt:lpstr>
      <vt:lpstr>_93h_F13</vt:lpstr>
      <vt:lpstr>_93h_F14</vt:lpstr>
      <vt:lpstr>_93h_F15</vt:lpstr>
      <vt:lpstr>_93h_F16</vt:lpstr>
      <vt:lpstr>_93h_F17</vt:lpstr>
      <vt:lpstr>_93h_F18</vt:lpstr>
      <vt:lpstr>_93h_F19</vt:lpstr>
      <vt:lpstr>_93h_F20</vt:lpstr>
      <vt:lpstr>_93h_F21</vt:lpstr>
      <vt:lpstr>_93h_F22</vt:lpstr>
      <vt:lpstr>_93h_F23</vt:lpstr>
      <vt:lpstr>_93h_F24</vt:lpstr>
      <vt:lpstr>_93h_F25</vt:lpstr>
      <vt:lpstr>_93h_F26</vt:lpstr>
      <vt:lpstr>_93h_F27</vt:lpstr>
      <vt:lpstr>_93h_F28</vt:lpstr>
      <vt:lpstr>_93h_F29</vt:lpstr>
      <vt:lpstr>_93h_F30</vt:lpstr>
      <vt:lpstr>_93h_F31</vt:lpstr>
      <vt:lpstr>_93h_F32</vt:lpstr>
      <vt:lpstr>_93h_F33</vt:lpstr>
      <vt:lpstr>_93h_F34</vt:lpstr>
      <vt:lpstr>_93h_F35</vt:lpstr>
      <vt:lpstr>_93h_F36</vt:lpstr>
      <vt:lpstr>_93h_F37</vt:lpstr>
      <vt:lpstr>_93h_F38</vt:lpstr>
      <vt:lpstr>_93h_F39</vt:lpstr>
      <vt:lpstr>_93h_F40</vt:lpstr>
      <vt:lpstr>_93h_F41</vt:lpstr>
      <vt:lpstr>_93h_F42</vt:lpstr>
      <vt:lpstr>_93h_F43</vt:lpstr>
      <vt:lpstr>_93h_F44</vt:lpstr>
      <vt:lpstr>_93h_F45</vt:lpstr>
      <vt:lpstr>_93h_F46</vt:lpstr>
      <vt:lpstr>_93h_F47</vt:lpstr>
      <vt:lpstr>_93h_F48</vt:lpstr>
      <vt:lpstr>_93h_F49</vt:lpstr>
      <vt:lpstr>_93h_F50</vt:lpstr>
      <vt:lpstr>_93h_F51</vt:lpstr>
      <vt:lpstr>_93h_F53</vt:lpstr>
      <vt:lpstr>_93h_F54</vt:lpstr>
      <vt:lpstr>_93h_F55</vt:lpstr>
      <vt:lpstr>_93h_F56</vt:lpstr>
      <vt:lpstr>_93h_F57</vt:lpstr>
      <vt:lpstr>_93h_F58</vt:lpstr>
      <vt:lpstr>_93h_F59</vt:lpstr>
      <vt:lpstr>_93h_F60</vt:lpstr>
      <vt:lpstr>_93h_F61</vt:lpstr>
      <vt:lpstr>_93h_F62</vt:lpstr>
      <vt:lpstr>_93h_F64</vt:lpstr>
      <vt:lpstr>_93h_F65</vt:lpstr>
      <vt:lpstr>_93h_F7</vt:lpstr>
      <vt:lpstr>_93h_F8</vt:lpstr>
      <vt:lpstr>_93h_F9</vt:lpstr>
      <vt:lpstr>_94h_E10</vt:lpstr>
      <vt:lpstr>_94h_E11</vt:lpstr>
      <vt:lpstr>_94h_E12</vt:lpstr>
      <vt:lpstr>_94h_E13</vt:lpstr>
      <vt:lpstr>_94h_E14</vt:lpstr>
      <vt:lpstr>_94h_E15</vt:lpstr>
      <vt:lpstr>_94h_E16</vt:lpstr>
      <vt:lpstr>_94h_E17</vt:lpstr>
      <vt:lpstr>_94h_E18</vt:lpstr>
      <vt:lpstr>_94h_E19</vt:lpstr>
      <vt:lpstr>_94h_E20</vt:lpstr>
      <vt:lpstr>_94h_E21</vt:lpstr>
      <vt:lpstr>_94h_E22</vt:lpstr>
      <vt:lpstr>_94h_E23</vt:lpstr>
      <vt:lpstr>_94h_E24</vt:lpstr>
      <vt:lpstr>_94h_E25</vt:lpstr>
      <vt:lpstr>_94h_E26</vt:lpstr>
      <vt:lpstr>_94h_E27</vt:lpstr>
      <vt:lpstr>_94h_E28</vt:lpstr>
      <vt:lpstr>_94h_E29</vt:lpstr>
      <vt:lpstr>_94h_E30</vt:lpstr>
      <vt:lpstr>_94h_E31</vt:lpstr>
      <vt:lpstr>_94h_E32</vt:lpstr>
      <vt:lpstr>_94h_E33</vt:lpstr>
      <vt:lpstr>_94h_E34</vt:lpstr>
      <vt:lpstr>_94h_E35</vt:lpstr>
      <vt:lpstr>_94h_E36</vt:lpstr>
      <vt:lpstr>_94h_E37</vt:lpstr>
      <vt:lpstr>_94h_E38</vt:lpstr>
      <vt:lpstr>_94h_E39</vt:lpstr>
      <vt:lpstr>_94h_E40</vt:lpstr>
      <vt:lpstr>_94h_E41</vt:lpstr>
      <vt:lpstr>_94h_E42</vt:lpstr>
      <vt:lpstr>_94h_E43</vt:lpstr>
      <vt:lpstr>_94h_E44</vt:lpstr>
      <vt:lpstr>_94h_E45</vt:lpstr>
      <vt:lpstr>_94h_E46</vt:lpstr>
      <vt:lpstr>_94h_E47</vt:lpstr>
      <vt:lpstr>_94h_E48</vt:lpstr>
      <vt:lpstr>_94h_E49</vt:lpstr>
      <vt:lpstr>_94h_E50</vt:lpstr>
      <vt:lpstr>_94h_E51</vt:lpstr>
      <vt:lpstr>_94h_E53</vt:lpstr>
      <vt:lpstr>_94h_E54</vt:lpstr>
      <vt:lpstr>_94h_E55</vt:lpstr>
      <vt:lpstr>_94h_E56</vt:lpstr>
      <vt:lpstr>_94h_E57</vt:lpstr>
      <vt:lpstr>_94h_E58</vt:lpstr>
      <vt:lpstr>_94h_E59</vt:lpstr>
      <vt:lpstr>_94h_E60</vt:lpstr>
      <vt:lpstr>_94h_E61</vt:lpstr>
      <vt:lpstr>_94h_E62</vt:lpstr>
      <vt:lpstr>_94h_E64</vt:lpstr>
      <vt:lpstr>_94h_E65</vt:lpstr>
      <vt:lpstr>_94h_E7</vt:lpstr>
      <vt:lpstr>_94h_E8</vt:lpstr>
      <vt:lpstr>_94h_E9</vt:lpstr>
      <vt:lpstr>_94h_F10</vt:lpstr>
      <vt:lpstr>_94h_F11</vt:lpstr>
      <vt:lpstr>_94h_F12</vt:lpstr>
      <vt:lpstr>_94h_F13</vt:lpstr>
      <vt:lpstr>_94h_F14</vt:lpstr>
      <vt:lpstr>_94h_F15</vt:lpstr>
      <vt:lpstr>_94h_F16</vt:lpstr>
      <vt:lpstr>_94h_F17</vt:lpstr>
      <vt:lpstr>_94h_F18</vt:lpstr>
      <vt:lpstr>_94h_F19</vt:lpstr>
      <vt:lpstr>_94h_F20</vt:lpstr>
      <vt:lpstr>_94h_F21</vt:lpstr>
      <vt:lpstr>_94h_F22</vt:lpstr>
      <vt:lpstr>_94h_F23</vt:lpstr>
      <vt:lpstr>_94h_F24</vt:lpstr>
      <vt:lpstr>_94h_F25</vt:lpstr>
      <vt:lpstr>_94h_F26</vt:lpstr>
      <vt:lpstr>_94h_F27</vt:lpstr>
      <vt:lpstr>_94h_F28</vt:lpstr>
      <vt:lpstr>_94h_F29</vt:lpstr>
      <vt:lpstr>_94h_F30</vt:lpstr>
      <vt:lpstr>_94h_F31</vt:lpstr>
      <vt:lpstr>_94h_F32</vt:lpstr>
      <vt:lpstr>_94h_F33</vt:lpstr>
      <vt:lpstr>_94h_F34</vt:lpstr>
      <vt:lpstr>_94h_F35</vt:lpstr>
      <vt:lpstr>_94h_F36</vt:lpstr>
      <vt:lpstr>_94h_F37</vt:lpstr>
      <vt:lpstr>_94h_F38</vt:lpstr>
      <vt:lpstr>_94h_F39</vt:lpstr>
      <vt:lpstr>_94h_F40</vt:lpstr>
      <vt:lpstr>_94h_F41</vt:lpstr>
      <vt:lpstr>_94h_F42</vt:lpstr>
      <vt:lpstr>_94h_F43</vt:lpstr>
      <vt:lpstr>_94h_F44</vt:lpstr>
      <vt:lpstr>_94h_F45</vt:lpstr>
      <vt:lpstr>_94h_F46</vt:lpstr>
      <vt:lpstr>_94h_F47</vt:lpstr>
      <vt:lpstr>_94h_F48</vt:lpstr>
      <vt:lpstr>_94h_F49</vt:lpstr>
      <vt:lpstr>_94h_F50</vt:lpstr>
      <vt:lpstr>_94h_F51</vt:lpstr>
      <vt:lpstr>_94h_F53</vt:lpstr>
      <vt:lpstr>_94h_F54</vt:lpstr>
      <vt:lpstr>_94h_F55</vt:lpstr>
      <vt:lpstr>_94h_F56</vt:lpstr>
      <vt:lpstr>_94h_F57</vt:lpstr>
      <vt:lpstr>_94h_F58</vt:lpstr>
      <vt:lpstr>_94h_F59</vt:lpstr>
      <vt:lpstr>_94h_F60</vt:lpstr>
      <vt:lpstr>_94h_F61</vt:lpstr>
      <vt:lpstr>_94h_F62</vt:lpstr>
      <vt:lpstr>_94h_F64</vt:lpstr>
      <vt:lpstr>_94h_F65</vt:lpstr>
      <vt:lpstr>_94h_F7</vt:lpstr>
      <vt:lpstr>_94h_F8</vt:lpstr>
      <vt:lpstr>_94h_F9</vt:lpstr>
      <vt:lpstr>_95h_E10</vt:lpstr>
      <vt:lpstr>_95h_E11</vt:lpstr>
      <vt:lpstr>_95h_E12</vt:lpstr>
      <vt:lpstr>_95h_E13</vt:lpstr>
      <vt:lpstr>_95h_E14</vt:lpstr>
      <vt:lpstr>_95h_E15</vt:lpstr>
      <vt:lpstr>_95h_E16</vt:lpstr>
      <vt:lpstr>_95h_E17</vt:lpstr>
      <vt:lpstr>_95h_E18</vt:lpstr>
      <vt:lpstr>_95h_E19</vt:lpstr>
      <vt:lpstr>_95h_E20</vt:lpstr>
      <vt:lpstr>_95h_E21</vt:lpstr>
      <vt:lpstr>_95h_E22</vt:lpstr>
      <vt:lpstr>_95h_E23</vt:lpstr>
      <vt:lpstr>_95h_E24</vt:lpstr>
      <vt:lpstr>_95h_E25</vt:lpstr>
      <vt:lpstr>_95h_E26</vt:lpstr>
      <vt:lpstr>_95h_E27</vt:lpstr>
      <vt:lpstr>_95h_E28</vt:lpstr>
      <vt:lpstr>_95h_E29</vt:lpstr>
      <vt:lpstr>_95h_E30</vt:lpstr>
      <vt:lpstr>_95h_E31</vt:lpstr>
      <vt:lpstr>_95h_E32</vt:lpstr>
      <vt:lpstr>_95h_E33</vt:lpstr>
      <vt:lpstr>_95h_E34</vt:lpstr>
      <vt:lpstr>_95h_E35</vt:lpstr>
      <vt:lpstr>_95h_E36</vt:lpstr>
      <vt:lpstr>_95h_E37</vt:lpstr>
      <vt:lpstr>_95h_E38</vt:lpstr>
      <vt:lpstr>_95h_E39</vt:lpstr>
      <vt:lpstr>_95h_E40</vt:lpstr>
      <vt:lpstr>_95h_E41</vt:lpstr>
      <vt:lpstr>_95h_E42</vt:lpstr>
      <vt:lpstr>_95h_E43</vt:lpstr>
      <vt:lpstr>_95h_E44</vt:lpstr>
      <vt:lpstr>_95h_E45</vt:lpstr>
      <vt:lpstr>_95h_E46</vt:lpstr>
      <vt:lpstr>_95h_E47</vt:lpstr>
      <vt:lpstr>_95h_E48</vt:lpstr>
      <vt:lpstr>_95h_E49</vt:lpstr>
      <vt:lpstr>_95h_E50</vt:lpstr>
      <vt:lpstr>_95h_E51</vt:lpstr>
      <vt:lpstr>_95h_E53</vt:lpstr>
      <vt:lpstr>_95h_E54</vt:lpstr>
      <vt:lpstr>_95h_E55</vt:lpstr>
      <vt:lpstr>_95h_E56</vt:lpstr>
      <vt:lpstr>_95h_E57</vt:lpstr>
      <vt:lpstr>_95h_E58</vt:lpstr>
      <vt:lpstr>_95h_E59</vt:lpstr>
      <vt:lpstr>_95h_E60</vt:lpstr>
      <vt:lpstr>_95h_E61</vt:lpstr>
      <vt:lpstr>_95h_E62</vt:lpstr>
      <vt:lpstr>_95h_E64</vt:lpstr>
      <vt:lpstr>_95h_E65</vt:lpstr>
      <vt:lpstr>_95h_E7</vt:lpstr>
      <vt:lpstr>_95h_E8</vt:lpstr>
      <vt:lpstr>_95h_E9</vt:lpstr>
      <vt:lpstr>_95h_F10</vt:lpstr>
      <vt:lpstr>_95h_F11</vt:lpstr>
      <vt:lpstr>_95h_F12</vt:lpstr>
      <vt:lpstr>_95h_F13</vt:lpstr>
      <vt:lpstr>_95h_F14</vt:lpstr>
      <vt:lpstr>_95h_F15</vt:lpstr>
      <vt:lpstr>_95h_F16</vt:lpstr>
      <vt:lpstr>_95h_F17</vt:lpstr>
      <vt:lpstr>_95h_F18</vt:lpstr>
      <vt:lpstr>_95h_F19</vt:lpstr>
      <vt:lpstr>_95h_F20</vt:lpstr>
      <vt:lpstr>_95h_F21</vt:lpstr>
      <vt:lpstr>_95h_F22</vt:lpstr>
      <vt:lpstr>_95h_F23</vt:lpstr>
      <vt:lpstr>_95h_F24</vt:lpstr>
      <vt:lpstr>_95h_F25</vt:lpstr>
      <vt:lpstr>_95h_F26</vt:lpstr>
      <vt:lpstr>_95h_F27</vt:lpstr>
      <vt:lpstr>_95h_F28</vt:lpstr>
      <vt:lpstr>_95h_F29</vt:lpstr>
      <vt:lpstr>_95h_F30</vt:lpstr>
      <vt:lpstr>_95h_F31</vt:lpstr>
      <vt:lpstr>_95h_F32</vt:lpstr>
      <vt:lpstr>_95h_F33</vt:lpstr>
      <vt:lpstr>_95h_F34</vt:lpstr>
      <vt:lpstr>_95h_F35</vt:lpstr>
      <vt:lpstr>_95h_F36</vt:lpstr>
      <vt:lpstr>_95h_F37</vt:lpstr>
      <vt:lpstr>_95h_F38</vt:lpstr>
      <vt:lpstr>_95h_F39</vt:lpstr>
      <vt:lpstr>_95h_F40</vt:lpstr>
      <vt:lpstr>_95h_F41</vt:lpstr>
      <vt:lpstr>_95h_F42</vt:lpstr>
      <vt:lpstr>_95h_F43</vt:lpstr>
      <vt:lpstr>_95h_F44</vt:lpstr>
      <vt:lpstr>_95h_F45</vt:lpstr>
      <vt:lpstr>_95h_F46</vt:lpstr>
      <vt:lpstr>_95h_F47</vt:lpstr>
      <vt:lpstr>_95h_F48</vt:lpstr>
      <vt:lpstr>_95h_F49</vt:lpstr>
      <vt:lpstr>_95h_F50</vt:lpstr>
      <vt:lpstr>_95h_F51</vt:lpstr>
      <vt:lpstr>_95h_F53</vt:lpstr>
      <vt:lpstr>_95h_F54</vt:lpstr>
      <vt:lpstr>_95h_F55</vt:lpstr>
      <vt:lpstr>_95h_F56</vt:lpstr>
      <vt:lpstr>_95h_F57</vt:lpstr>
      <vt:lpstr>_95h_F58</vt:lpstr>
      <vt:lpstr>_95h_F59</vt:lpstr>
      <vt:lpstr>_95h_F60</vt:lpstr>
      <vt:lpstr>_95h_F61</vt:lpstr>
      <vt:lpstr>_95h_F62</vt:lpstr>
      <vt:lpstr>_95h_F64</vt:lpstr>
      <vt:lpstr>_95h_F65</vt:lpstr>
      <vt:lpstr>_95h_F7</vt:lpstr>
      <vt:lpstr>_95h_F8</vt:lpstr>
      <vt:lpstr>_95h_F9</vt:lpstr>
      <vt:lpstr>_96h_E10</vt:lpstr>
      <vt:lpstr>_96h_E11</vt:lpstr>
      <vt:lpstr>_96h_E12</vt:lpstr>
      <vt:lpstr>_96h_E13</vt:lpstr>
      <vt:lpstr>_96h_E14</vt:lpstr>
      <vt:lpstr>_96h_E15</vt:lpstr>
      <vt:lpstr>_96h_E16</vt:lpstr>
      <vt:lpstr>_96h_E17</vt:lpstr>
      <vt:lpstr>_96h_E18</vt:lpstr>
      <vt:lpstr>_96h_E19</vt:lpstr>
      <vt:lpstr>_96h_E20</vt:lpstr>
      <vt:lpstr>_96h_E21</vt:lpstr>
      <vt:lpstr>_96h_E22</vt:lpstr>
      <vt:lpstr>_96h_E23</vt:lpstr>
      <vt:lpstr>_96h_E24</vt:lpstr>
      <vt:lpstr>_96h_E25</vt:lpstr>
      <vt:lpstr>_96h_E26</vt:lpstr>
      <vt:lpstr>_96h_E27</vt:lpstr>
      <vt:lpstr>_96h_E28</vt:lpstr>
      <vt:lpstr>_96h_E29</vt:lpstr>
      <vt:lpstr>_96h_E30</vt:lpstr>
      <vt:lpstr>_96h_E31</vt:lpstr>
      <vt:lpstr>_96h_E32</vt:lpstr>
      <vt:lpstr>_96h_E33</vt:lpstr>
      <vt:lpstr>_96h_E34</vt:lpstr>
      <vt:lpstr>_96h_E35</vt:lpstr>
      <vt:lpstr>_96h_E36</vt:lpstr>
      <vt:lpstr>_96h_E37</vt:lpstr>
      <vt:lpstr>_96h_E38</vt:lpstr>
      <vt:lpstr>_96h_E39</vt:lpstr>
      <vt:lpstr>_96h_E40</vt:lpstr>
      <vt:lpstr>_96h_E41</vt:lpstr>
      <vt:lpstr>_96h_E42</vt:lpstr>
      <vt:lpstr>_96h_E43</vt:lpstr>
      <vt:lpstr>_96h_E44</vt:lpstr>
      <vt:lpstr>_96h_E45</vt:lpstr>
      <vt:lpstr>_96h_E46</vt:lpstr>
      <vt:lpstr>_96h_E47</vt:lpstr>
      <vt:lpstr>_96h_E48</vt:lpstr>
      <vt:lpstr>_96h_E49</vt:lpstr>
      <vt:lpstr>_96h_E50</vt:lpstr>
      <vt:lpstr>_96h_E51</vt:lpstr>
      <vt:lpstr>_96h_E53</vt:lpstr>
      <vt:lpstr>_96h_E54</vt:lpstr>
      <vt:lpstr>_96h_E55</vt:lpstr>
      <vt:lpstr>_96h_E56</vt:lpstr>
      <vt:lpstr>_96h_E57</vt:lpstr>
      <vt:lpstr>_96h_E58</vt:lpstr>
      <vt:lpstr>_96h_E59</vt:lpstr>
      <vt:lpstr>_96h_E60</vt:lpstr>
      <vt:lpstr>_96h_E61</vt:lpstr>
      <vt:lpstr>_96h_E62</vt:lpstr>
      <vt:lpstr>_96h_E64</vt:lpstr>
      <vt:lpstr>_96h_E65</vt:lpstr>
      <vt:lpstr>_96h_E7</vt:lpstr>
      <vt:lpstr>_96h_E8</vt:lpstr>
      <vt:lpstr>_96h_E9</vt:lpstr>
      <vt:lpstr>_96h_F10</vt:lpstr>
      <vt:lpstr>_96h_F11</vt:lpstr>
      <vt:lpstr>_96h_F12</vt:lpstr>
      <vt:lpstr>_96h_F13</vt:lpstr>
      <vt:lpstr>_96h_F14</vt:lpstr>
      <vt:lpstr>_96h_F15</vt:lpstr>
      <vt:lpstr>_96h_F16</vt:lpstr>
      <vt:lpstr>_96h_F17</vt:lpstr>
      <vt:lpstr>_96h_F18</vt:lpstr>
      <vt:lpstr>_96h_F19</vt:lpstr>
      <vt:lpstr>_96h_F20</vt:lpstr>
      <vt:lpstr>_96h_F21</vt:lpstr>
      <vt:lpstr>_96h_F22</vt:lpstr>
      <vt:lpstr>_96h_F23</vt:lpstr>
      <vt:lpstr>_96h_F24</vt:lpstr>
      <vt:lpstr>_96h_F25</vt:lpstr>
      <vt:lpstr>_96h_F26</vt:lpstr>
      <vt:lpstr>_96h_F27</vt:lpstr>
      <vt:lpstr>_96h_F28</vt:lpstr>
      <vt:lpstr>_96h_F29</vt:lpstr>
      <vt:lpstr>_96h_F30</vt:lpstr>
      <vt:lpstr>_96h_F31</vt:lpstr>
      <vt:lpstr>_96h_F32</vt:lpstr>
      <vt:lpstr>_96h_F33</vt:lpstr>
      <vt:lpstr>_96h_F34</vt:lpstr>
      <vt:lpstr>_96h_F35</vt:lpstr>
      <vt:lpstr>_96h_F36</vt:lpstr>
      <vt:lpstr>_96h_F37</vt:lpstr>
      <vt:lpstr>_96h_F38</vt:lpstr>
      <vt:lpstr>_96h_F39</vt:lpstr>
      <vt:lpstr>_96h_F40</vt:lpstr>
      <vt:lpstr>_96h_F41</vt:lpstr>
      <vt:lpstr>_96h_F42</vt:lpstr>
      <vt:lpstr>_96h_F43</vt:lpstr>
      <vt:lpstr>_96h_F44</vt:lpstr>
      <vt:lpstr>_96h_F45</vt:lpstr>
      <vt:lpstr>_96h_F46</vt:lpstr>
      <vt:lpstr>_96h_F47</vt:lpstr>
      <vt:lpstr>_96h_F48</vt:lpstr>
      <vt:lpstr>_96h_F49</vt:lpstr>
      <vt:lpstr>_96h_F50</vt:lpstr>
      <vt:lpstr>_96h_F51</vt:lpstr>
      <vt:lpstr>_96h_F53</vt:lpstr>
      <vt:lpstr>_96h_F54</vt:lpstr>
      <vt:lpstr>_96h_F55</vt:lpstr>
      <vt:lpstr>_96h_F56</vt:lpstr>
      <vt:lpstr>_96h_F57</vt:lpstr>
      <vt:lpstr>_96h_F58</vt:lpstr>
      <vt:lpstr>_96h_F59</vt:lpstr>
      <vt:lpstr>_96h_F60</vt:lpstr>
      <vt:lpstr>_96h_F61</vt:lpstr>
      <vt:lpstr>_96h_F62</vt:lpstr>
      <vt:lpstr>_96h_F64</vt:lpstr>
      <vt:lpstr>_96h_F65</vt:lpstr>
      <vt:lpstr>_96h_F7</vt:lpstr>
      <vt:lpstr>_96h_F8</vt:lpstr>
      <vt:lpstr>_96h_F9</vt:lpstr>
      <vt:lpstr>_97h_E10</vt:lpstr>
      <vt:lpstr>_97h_E11</vt:lpstr>
      <vt:lpstr>_97h_E12</vt:lpstr>
      <vt:lpstr>_97h_E13</vt:lpstr>
      <vt:lpstr>_97h_E14</vt:lpstr>
      <vt:lpstr>_97h_E15</vt:lpstr>
      <vt:lpstr>_97h_E16</vt:lpstr>
      <vt:lpstr>_97h_E17</vt:lpstr>
      <vt:lpstr>_97h_E18</vt:lpstr>
      <vt:lpstr>_97h_E19</vt:lpstr>
      <vt:lpstr>_97h_E20</vt:lpstr>
      <vt:lpstr>_97h_E21</vt:lpstr>
      <vt:lpstr>_97h_E22</vt:lpstr>
      <vt:lpstr>_97h_E23</vt:lpstr>
      <vt:lpstr>_97h_E24</vt:lpstr>
      <vt:lpstr>_97h_E25</vt:lpstr>
      <vt:lpstr>_97h_E26</vt:lpstr>
      <vt:lpstr>_97h_E27</vt:lpstr>
      <vt:lpstr>_97h_E28</vt:lpstr>
      <vt:lpstr>_97h_E29</vt:lpstr>
      <vt:lpstr>_97h_E30</vt:lpstr>
      <vt:lpstr>_97h_E31</vt:lpstr>
      <vt:lpstr>_97h_E32</vt:lpstr>
      <vt:lpstr>_97h_E33</vt:lpstr>
      <vt:lpstr>_97h_E34</vt:lpstr>
      <vt:lpstr>_97h_E35</vt:lpstr>
      <vt:lpstr>_97h_E36</vt:lpstr>
      <vt:lpstr>_97h_E37</vt:lpstr>
      <vt:lpstr>_97h_E38</vt:lpstr>
      <vt:lpstr>_97h_E39</vt:lpstr>
      <vt:lpstr>_97h_E40</vt:lpstr>
      <vt:lpstr>_97h_E41</vt:lpstr>
      <vt:lpstr>_97h_E42</vt:lpstr>
      <vt:lpstr>_97h_E43</vt:lpstr>
      <vt:lpstr>_97h_E44</vt:lpstr>
      <vt:lpstr>_97h_E45</vt:lpstr>
      <vt:lpstr>_97h_E46</vt:lpstr>
      <vt:lpstr>_97h_E47</vt:lpstr>
      <vt:lpstr>_97h_E48</vt:lpstr>
      <vt:lpstr>_97h_E49</vt:lpstr>
      <vt:lpstr>_97h_E50</vt:lpstr>
      <vt:lpstr>_97h_E51</vt:lpstr>
      <vt:lpstr>_97h_E53</vt:lpstr>
      <vt:lpstr>_97h_E54</vt:lpstr>
      <vt:lpstr>_97h_E55</vt:lpstr>
      <vt:lpstr>_97h_E56</vt:lpstr>
      <vt:lpstr>_97h_E57</vt:lpstr>
      <vt:lpstr>_97h_E58</vt:lpstr>
      <vt:lpstr>_97h_E59</vt:lpstr>
      <vt:lpstr>_97h_E60</vt:lpstr>
      <vt:lpstr>_97h_E61</vt:lpstr>
      <vt:lpstr>_97h_E62</vt:lpstr>
      <vt:lpstr>_97h_E64</vt:lpstr>
      <vt:lpstr>_97h_E65</vt:lpstr>
      <vt:lpstr>_97h_E7</vt:lpstr>
      <vt:lpstr>_97h_E8</vt:lpstr>
      <vt:lpstr>_97h_E9</vt:lpstr>
      <vt:lpstr>_97h_F10</vt:lpstr>
      <vt:lpstr>_97h_F11</vt:lpstr>
      <vt:lpstr>_97h_F12</vt:lpstr>
      <vt:lpstr>_97h_F13</vt:lpstr>
      <vt:lpstr>_97h_F14</vt:lpstr>
      <vt:lpstr>_97h_F15</vt:lpstr>
      <vt:lpstr>_97h_F16</vt:lpstr>
      <vt:lpstr>_97h_F17</vt:lpstr>
      <vt:lpstr>_97h_F18</vt:lpstr>
      <vt:lpstr>_97h_F19</vt:lpstr>
      <vt:lpstr>_97h_F20</vt:lpstr>
      <vt:lpstr>_97h_F21</vt:lpstr>
      <vt:lpstr>_97h_F22</vt:lpstr>
      <vt:lpstr>_97h_F23</vt:lpstr>
      <vt:lpstr>_97h_F24</vt:lpstr>
      <vt:lpstr>_97h_F25</vt:lpstr>
      <vt:lpstr>_97h_F26</vt:lpstr>
      <vt:lpstr>_97h_F27</vt:lpstr>
      <vt:lpstr>_97h_F28</vt:lpstr>
      <vt:lpstr>_97h_F29</vt:lpstr>
      <vt:lpstr>_97h_F30</vt:lpstr>
      <vt:lpstr>_97h_F31</vt:lpstr>
      <vt:lpstr>_97h_F32</vt:lpstr>
      <vt:lpstr>_97h_F33</vt:lpstr>
      <vt:lpstr>_97h_F34</vt:lpstr>
      <vt:lpstr>_97h_F35</vt:lpstr>
      <vt:lpstr>_97h_F36</vt:lpstr>
      <vt:lpstr>_97h_F37</vt:lpstr>
      <vt:lpstr>_97h_F38</vt:lpstr>
      <vt:lpstr>_97h_F39</vt:lpstr>
      <vt:lpstr>_97h_F40</vt:lpstr>
      <vt:lpstr>_97h_F41</vt:lpstr>
      <vt:lpstr>_97h_F42</vt:lpstr>
      <vt:lpstr>_97h_F43</vt:lpstr>
      <vt:lpstr>_97h_F44</vt:lpstr>
      <vt:lpstr>_97h_F45</vt:lpstr>
      <vt:lpstr>_97h_F46</vt:lpstr>
      <vt:lpstr>_97h_F47</vt:lpstr>
      <vt:lpstr>_97h_F48</vt:lpstr>
      <vt:lpstr>_97h_F49</vt:lpstr>
      <vt:lpstr>_97h_F50</vt:lpstr>
      <vt:lpstr>_97h_F51</vt:lpstr>
      <vt:lpstr>_97h_F53</vt:lpstr>
      <vt:lpstr>_97h_F54</vt:lpstr>
      <vt:lpstr>_97h_F55</vt:lpstr>
      <vt:lpstr>_97h_F56</vt:lpstr>
      <vt:lpstr>_97h_F57</vt:lpstr>
      <vt:lpstr>_97h_F58</vt:lpstr>
      <vt:lpstr>_97h_F59</vt:lpstr>
      <vt:lpstr>_97h_F60</vt:lpstr>
      <vt:lpstr>_97h_F61</vt:lpstr>
      <vt:lpstr>_97h_F62</vt:lpstr>
      <vt:lpstr>_97h_F64</vt:lpstr>
      <vt:lpstr>_97h_F65</vt:lpstr>
      <vt:lpstr>_97h_F7</vt:lpstr>
      <vt:lpstr>_97h_F8</vt:lpstr>
      <vt:lpstr>_97h_F9</vt:lpstr>
      <vt:lpstr>_98h_E10</vt:lpstr>
      <vt:lpstr>_98h_E11</vt:lpstr>
      <vt:lpstr>_98h_E12</vt:lpstr>
      <vt:lpstr>_98h_E13</vt:lpstr>
      <vt:lpstr>_98h_E14</vt:lpstr>
      <vt:lpstr>_98h_E15</vt:lpstr>
      <vt:lpstr>_98h_E16</vt:lpstr>
      <vt:lpstr>_98h_E17</vt:lpstr>
      <vt:lpstr>_98h_E18</vt:lpstr>
      <vt:lpstr>_98h_E19</vt:lpstr>
      <vt:lpstr>_98h_E20</vt:lpstr>
      <vt:lpstr>_98h_E21</vt:lpstr>
      <vt:lpstr>_98h_E22</vt:lpstr>
      <vt:lpstr>_98h_E23</vt:lpstr>
      <vt:lpstr>_98h_E24</vt:lpstr>
      <vt:lpstr>_98h_E25</vt:lpstr>
      <vt:lpstr>_98h_E26</vt:lpstr>
      <vt:lpstr>_98h_E27</vt:lpstr>
      <vt:lpstr>_98h_E28</vt:lpstr>
      <vt:lpstr>_98h_E29</vt:lpstr>
      <vt:lpstr>_98h_E30</vt:lpstr>
      <vt:lpstr>_98h_E31</vt:lpstr>
      <vt:lpstr>_98h_E32</vt:lpstr>
      <vt:lpstr>_98h_E33</vt:lpstr>
      <vt:lpstr>_98h_E34</vt:lpstr>
      <vt:lpstr>_98h_E35</vt:lpstr>
      <vt:lpstr>_98h_E36</vt:lpstr>
      <vt:lpstr>_98h_E37</vt:lpstr>
      <vt:lpstr>_98h_E38</vt:lpstr>
      <vt:lpstr>_98h_E39</vt:lpstr>
      <vt:lpstr>_98h_E40</vt:lpstr>
      <vt:lpstr>_98h_E41</vt:lpstr>
      <vt:lpstr>_98h_E42</vt:lpstr>
      <vt:lpstr>_98h_E43</vt:lpstr>
      <vt:lpstr>_98h_E44</vt:lpstr>
      <vt:lpstr>_98h_E45</vt:lpstr>
      <vt:lpstr>_98h_E46</vt:lpstr>
      <vt:lpstr>_98h_E47</vt:lpstr>
      <vt:lpstr>_98h_E48</vt:lpstr>
      <vt:lpstr>_98h_E49</vt:lpstr>
      <vt:lpstr>_98h_E50</vt:lpstr>
      <vt:lpstr>_98h_E51</vt:lpstr>
      <vt:lpstr>_98h_E53</vt:lpstr>
      <vt:lpstr>_98h_E54</vt:lpstr>
      <vt:lpstr>_98h_E55</vt:lpstr>
      <vt:lpstr>_98h_E56</vt:lpstr>
      <vt:lpstr>_98h_E57</vt:lpstr>
      <vt:lpstr>_98h_E58</vt:lpstr>
      <vt:lpstr>_98h_E59</vt:lpstr>
      <vt:lpstr>_98h_E60</vt:lpstr>
      <vt:lpstr>_98h_E61</vt:lpstr>
      <vt:lpstr>_98h_E62</vt:lpstr>
      <vt:lpstr>_98h_E64</vt:lpstr>
      <vt:lpstr>_98h_E65</vt:lpstr>
      <vt:lpstr>_98h_E7</vt:lpstr>
      <vt:lpstr>_98h_E8</vt:lpstr>
      <vt:lpstr>_98h_E9</vt:lpstr>
      <vt:lpstr>_98h_F10</vt:lpstr>
      <vt:lpstr>_98h_F11</vt:lpstr>
      <vt:lpstr>_98h_F12</vt:lpstr>
      <vt:lpstr>_98h_F13</vt:lpstr>
      <vt:lpstr>_98h_F14</vt:lpstr>
      <vt:lpstr>_98h_F15</vt:lpstr>
      <vt:lpstr>_98h_F16</vt:lpstr>
      <vt:lpstr>_98h_F17</vt:lpstr>
      <vt:lpstr>_98h_F18</vt:lpstr>
      <vt:lpstr>_98h_F19</vt:lpstr>
      <vt:lpstr>_98h_F20</vt:lpstr>
      <vt:lpstr>_98h_F21</vt:lpstr>
      <vt:lpstr>_98h_F22</vt:lpstr>
      <vt:lpstr>_98h_F23</vt:lpstr>
      <vt:lpstr>_98h_F24</vt:lpstr>
      <vt:lpstr>_98h_F25</vt:lpstr>
      <vt:lpstr>_98h_F26</vt:lpstr>
      <vt:lpstr>_98h_F27</vt:lpstr>
      <vt:lpstr>_98h_F28</vt:lpstr>
      <vt:lpstr>_98h_F29</vt:lpstr>
      <vt:lpstr>_98h_F30</vt:lpstr>
      <vt:lpstr>_98h_F31</vt:lpstr>
      <vt:lpstr>_98h_F32</vt:lpstr>
      <vt:lpstr>_98h_F33</vt:lpstr>
      <vt:lpstr>_98h_F34</vt:lpstr>
      <vt:lpstr>_98h_F35</vt:lpstr>
      <vt:lpstr>_98h_F36</vt:lpstr>
      <vt:lpstr>_98h_F37</vt:lpstr>
      <vt:lpstr>_98h_F38</vt:lpstr>
      <vt:lpstr>_98h_F39</vt:lpstr>
      <vt:lpstr>_98h_F40</vt:lpstr>
      <vt:lpstr>_98h_F41</vt:lpstr>
      <vt:lpstr>_98h_F42</vt:lpstr>
      <vt:lpstr>_98h_F43</vt:lpstr>
      <vt:lpstr>_98h_F44</vt:lpstr>
      <vt:lpstr>_98h_F45</vt:lpstr>
      <vt:lpstr>_98h_F46</vt:lpstr>
      <vt:lpstr>_98h_F47</vt:lpstr>
      <vt:lpstr>_98h_F48</vt:lpstr>
      <vt:lpstr>_98h_F49</vt:lpstr>
      <vt:lpstr>_98h_F50</vt:lpstr>
      <vt:lpstr>_98h_F51</vt:lpstr>
      <vt:lpstr>_98h_F53</vt:lpstr>
      <vt:lpstr>_98h_F54</vt:lpstr>
      <vt:lpstr>_98h_F55</vt:lpstr>
      <vt:lpstr>_98h_F56</vt:lpstr>
      <vt:lpstr>_98h_F57</vt:lpstr>
      <vt:lpstr>_98h_F58</vt:lpstr>
      <vt:lpstr>_98h_F59</vt:lpstr>
      <vt:lpstr>_98h_F60</vt:lpstr>
      <vt:lpstr>_98h_F61</vt:lpstr>
      <vt:lpstr>_98h_F62</vt:lpstr>
      <vt:lpstr>_98h_F64</vt:lpstr>
      <vt:lpstr>_98h_F65</vt:lpstr>
      <vt:lpstr>_98h_F7</vt:lpstr>
      <vt:lpstr>_98h_F8</vt:lpstr>
      <vt:lpstr>_98h_F9</vt:lpstr>
      <vt:lpstr>_99h_E10</vt:lpstr>
      <vt:lpstr>_99h_E11</vt:lpstr>
      <vt:lpstr>_99h_E12</vt:lpstr>
      <vt:lpstr>_99h_E13</vt:lpstr>
      <vt:lpstr>_99h_E14</vt:lpstr>
      <vt:lpstr>_99h_E15</vt:lpstr>
      <vt:lpstr>_99h_E16</vt:lpstr>
      <vt:lpstr>_99h_E17</vt:lpstr>
      <vt:lpstr>_99h_E18</vt:lpstr>
      <vt:lpstr>_99h_E19</vt:lpstr>
      <vt:lpstr>_99h_E20</vt:lpstr>
      <vt:lpstr>_99h_E21</vt:lpstr>
      <vt:lpstr>_99h_E22</vt:lpstr>
      <vt:lpstr>_99h_E23</vt:lpstr>
      <vt:lpstr>_99h_E24</vt:lpstr>
      <vt:lpstr>_99h_E25</vt:lpstr>
      <vt:lpstr>_99h_E26</vt:lpstr>
      <vt:lpstr>_99h_E27</vt:lpstr>
      <vt:lpstr>_99h_E28</vt:lpstr>
      <vt:lpstr>_99h_E29</vt:lpstr>
      <vt:lpstr>_99h_E30</vt:lpstr>
      <vt:lpstr>_99h_E31</vt:lpstr>
      <vt:lpstr>_99h_E32</vt:lpstr>
      <vt:lpstr>_99h_E33</vt:lpstr>
      <vt:lpstr>_99h_E34</vt:lpstr>
      <vt:lpstr>_99h_E35</vt:lpstr>
      <vt:lpstr>_99h_E36</vt:lpstr>
      <vt:lpstr>_99h_E37</vt:lpstr>
      <vt:lpstr>_99h_E38</vt:lpstr>
      <vt:lpstr>_99h_E39</vt:lpstr>
      <vt:lpstr>_99h_E40</vt:lpstr>
      <vt:lpstr>_99h_E41</vt:lpstr>
      <vt:lpstr>_99h_E42</vt:lpstr>
      <vt:lpstr>_99h_E43</vt:lpstr>
      <vt:lpstr>_99h_E44</vt:lpstr>
      <vt:lpstr>_99h_E45</vt:lpstr>
      <vt:lpstr>_99h_E46</vt:lpstr>
      <vt:lpstr>_99h_E47</vt:lpstr>
      <vt:lpstr>_99h_E48</vt:lpstr>
      <vt:lpstr>_99h_E49</vt:lpstr>
      <vt:lpstr>_99h_E50</vt:lpstr>
      <vt:lpstr>_99h_E51</vt:lpstr>
      <vt:lpstr>_99h_E53</vt:lpstr>
      <vt:lpstr>_99h_E54</vt:lpstr>
      <vt:lpstr>_99h_E55</vt:lpstr>
      <vt:lpstr>_99h_E56</vt:lpstr>
      <vt:lpstr>_99h_E57</vt:lpstr>
      <vt:lpstr>_99h_E58</vt:lpstr>
      <vt:lpstr>_99h_E59</vt:lpstr>
      <vt:lpstr>_99h_E60</vt:lpstr>
      <vt:lpstr>_99h_E61</vt:lpstr>
      <vt:lpstr>_99h_E62</vt:lpstr>
      <vt:lpstr>_99h_E64</vt:lpstr>
      <vt:lpstr>_99h_E65</vt:lpstr>
      <vt:lpstr>_99h_E7</vt:lpstr>
      <vt:lpstr>_99h_E8</vt:lpstr>
      <vt:lpstr>_99h_E9</vt:lpstr>
      <vt:lpstr>_99h_F10</vt:lpstr>
      <vt:lpstr>_99h_F11</vt:lpstr>
      <vt:lpstr>_99h_F12</vt:lpstr>
      <vt:lpstr>_99h_F13</vt:lpstr>
      <vt:lpstr>_99h_F14</vt:lpstr>
      <vt:lpstr>_99h_F15</vt:lpstr>
      <vt:lpstr>_99h_F16</vt:lpstr>
      <vt:lpstr>_99h_F17</vt:lpstr>
      <vt:lpstr>_99h_F18</vt:lpstr>
      <vt:lpstr>_99h_F19</vt:lpstr>
      <vt:lpstr>_99h_F20</vt:lpstr>
      <vt:lpstr>_99h_F21</vt:lpstr>
      <vt:lpstr>_99h_F22</vt:lpstr>
      <vt:lpstr>_99h_F23</vt:lpstr>
      <vt:lpstr>_99h_F24</vt:lpstr>
      <vt:lpstr>_99h_F25</vt:lpstr>
      <vt:lpstr>_99h_F26</vt:lpstr>
      <vt:lpstr>_99h_F27</vt:lpstr>
      <vt:lpstr>_99h_F28</vt:lpstr>
      <vt:lpstr>_99h_F29</vt:lpstr>
      <vt:lpstr>_99h_F30</vt:lpstr>
      <vt:lpstr>_99h_F31</vt:lpstr>
      <vt:lpstr>_99h_F32</vt:lpstr>
      <vt:lpstr>_99h_F33</vt:lpstr>
      <vt:lpstr>_99h_F34</vt:lpstr>
      <vt:lpstr>_99h_F35</vt:lpstr>
      <vt:lpstr>_99h_F36</vt:lpstr>
      <vt:lpstr>_99h_F37</vt:lpstr>
      <vt:lpstr>_99h_F38</vt:lpstr>
      <vt:lpstr>_99h_F39</vt:lpstr>
      <vt:lpstr>_99h_F40</vt:lpstr>
      <vt:lpstr>_99h_F41</vt:lpstr>
      <vt:lpstr>_99h_F42</vt:lpstr>
      <vt:lpstr>_99h_F43</vt:lpstr>
      <vt:lpstr>_99h_F44</vt:lpstr>
      <vt:lpstr>_99h_F45</vt:lpstr>
      <vt:lpstr>_99h_F46</vt:lpstr>
      <vt:lpstr>_99h_F47</vt:lpstr>
      <vt:lpstr>_99h_F48</vt:lpstr>
      <vt:lpstr>_99h_F49</vt:lpstr>
      <vt:lpstr>_99h_F50</vt:lpstr>
      <vt:lpstr>_99h_F51</vt:lpstr>
      <vt:lpstr>_99h_F53</vt:lpstr>
      <vt:lpstr>_99h_F54</vt:lpstr>
      <vt:lpstr>_99h_F55</vt:lpstr>
      <vt:lpstr>_99h_F56</vt:lpstr>
      <vt:lpstr>_99h_F57</vt:lpstr>
      <vt:lpstr>_99h_F58</vt:lpstr>
      <vt:lpstr>_99h_F59</vt:lpstr>
      <vt:lpstr>_99h_F60</vt:lpstr>
      <vt:lpstr>_99h_F61</vt:lpstr>
      <vt:lpstr>_99h_F62</vt:lpstr>
      <vt:lpstr>_99h_F64</vt:lpstr>
      <vt:lpstr>_99h_F65</vt:lpstr>
      <vt:lpstr>_99h_F7</vt:lpstr>
      <vt:lpstr>_99h_F8</vt:lpstr>
      <vt:lpstr>_99h_F9</vt:lpstr>
      <vt:lpstr>_9h_E10</vt:lpstr>
      <vt:lpstr>_9h_E11</vt:lpstr>
      <vt:lpstr>_9h_E12</vt:lpstr>
      <vt:lpstr>_9h_E13</vt:lpstr>
      <vt:lpstr>_9h_E14</vt:lpstr>
      <vt:lpstr>_9h_E15</vt:lpstr>
      <vt:lpstr>_9h_E16</vt:lpstr>
      <vt:lpstr>_9h_E17</vt:lpstr>
      <vt:lpstr>_9h_E18</vt:lpstr>
      <vt:lpstr>_9h_E19</vt:lpstr>
      <vt:lpstr>_9h_E20</vt:lpstr>
      <vt:lpstr>_9h_E21</vt:lpstr>
      <vt:lpstr>_9h_E22</vt:lpstr>
      <vt:lpstr>_9h_E23</vt:lpstr>
      <vt:lpstr>_9h_E24</vt:lpstr>
      <vt:lpstr>_9h_E25</vt:lpstr>
      <vt:lpstr>_9h_E26</vt:lpstr>
      <vt:lpstr>_9h_E27</vt:lpstr>
      <vt:lpstr>_9h_E28</vt:lpstr>
      <vt:lpstr>_9h_E29</vt:lpstr>
      <vt:lpstr>_9h_E30</vt:lpstr>
      <vt:lpstr>_9h_E31</vt:lpstr>
      <vt:lpstr>_9h_E32</vt:lpstr>
      <vt:lpstr>_9h_E33</vt:lpstr>
      <vt:lpstr>_9h_E34</vt:lpstr>
      <vt:lpstr>_9h_E35</vt:lpstr>
      <vt:lpstr>_9h_E36</vt:lpstr>
      <vt:lpstr>_9h_E37</vt:lpstr>
      <vt:lpstr>_9h_E38</vt:lpstr>
      <vt:lpstr>_9h_E39</vt:lpstr>
      <vt:lpstr>_9h_E40</vt:lpstr>
      <vt:lpstr>_9h_E41</vt:lpstr>
      <vt:lpstr>_9h_E42</vt:lpstr>
      <vt:lpstr>_9h_E43</vt:lpstr>
      <vt:lpstr>_9h_E44</vt:lpstr>
      <vt:lpstr>_9h_E45</vt:lpstr>
      <vt:lpstr>_9h_E46</vt:lpstr>
      <vt:lpstr>_9h_E47</vt:lpstr>
      <vt:lpstr>_9h_E48</vt:lpstr>
      <vt:lpstr>_9h_E49</vt:lpstr>
      <vt:lpstr>_9h_E50</vt:lpstr>
      <vt:lpstr>_9h_E51</vt:lpstr>
      <vt:lpstr>_9h_E53</vt:lpstr>
      <vt:lpstr>_9h_E54</vt:lpstr>
      <vt:lpstr>_9h_E55</vt:lpstr>
      <vt:lpstr>_9h_E56</vt:lpstr>
      <vt:lpstr>_9h_E57</vt:lpstr>
      <vt:lpstr>_9h_E58</vt:lpstr>
      <vt:lpstr>_9h_E59</vt:lpstr>
      <vt:lpstr>_9h_E60</vt:lpstr>
      <vt:lpstr>_9h_E61</vt:lpstr>
      <vt:lpstr>_9h_E62</vt:lpstr>
      <vt:lpstr>_9h_E64</vt:lpstr>
      <vt:lpstr>_9h_E65</vt:lpstr>
      <vt:lpstr>_9h_E7</vt:lpstr>
      <vt:lpstr>_9h_E8</vt:lpstr>
      <vt:lpstr>_9h_E9</vt:lpstr>
      <vt:lpstr>_9h_F10</vt:lpstr>
      <vt:lpstr>_9h_F11</vt:lpstr>
      <vt:lpstr>_9h_F12</vt:lpstr>
      <vt:lpstr>_9h_F13</vt:lpstr>
      <vt:lpstr>_9h_F14</vt:lpstr>
      <vt:lpstr>_9h_F15</vt:lpstr>
      <vt:lpstr>_9h_F16</vt:lpstr>
      <vt:lpstr>_9h_F17</vt:lpstr>
      <vt:lpstr>_9h_F18</vt:lpstr>
      <vt:lpstr>_9h_F19</vt:lpstr>
      <vt:lpstr>_9h_F20</vt:lpstr>
      <vt:lpstr>_9h_F21</vt:lpstr>
      <vt:lpstr>_9h_F22</vt:lpstr>
      <vt:lpstr>_9h_F23</vt:lpstr>
      <vt:lpstr>_9h_F24</vt:lpstr>
      <vt:lpstr>_9h_F25</vt:lpstr>
      <vt:lpstr>_9h_F26</vt:lpstr>
      <vt:lpstr>_9h_F27</vt:lpstr>
      <vt:lpstr>_9h_F28</vt:lpstr>
      <vt:lpstr>_9h_F29</vt:lpstr>
      <vt:lpstr>_9h_F30</vt:lpstr>
      <vt:lpstr>_9h_F31</vt:lpstr>
      <vt:lpstr>_9h_F32</vt:lpstr>
      <vt:lpstr>_9h_F33</vt:lpstr>
      <vt:lpstr>_9h_F34</vt:lpstr>
      <vt:lpstr>_9h_F35</vt:lpstr>
      <vt:lpstr>_9h_F36</vt:lpstr>
      <vt:lpstr>_9h_F37</vt:lpstr>
      <vt:lpstr>_9h_F38</vt:lpstr>
      <vt:lpstr>_9h_F39</vt:lpstr>
      <vt:lpstr>_9h_F40</vt:lpstr>
      <vt:lpstr>_9h_F41</vt:lpstr>
      <vt:lpstr>_9h_F42</vt:lpstr>
      <vt:lpstr>_9h_F43</vt:lpstr>
      <vt:lpstr>_9h_F44</vt:lpstr>
      <vt:lpstr>_9h_F45</vt:lpstr>
      <vt:lpstr>_9h_F46</vt:lpstr>
      <vt:lpstr>_9h_F47</vt:lpstr>
      <vt:lpstr>_9h_F48</vt:lpstr>
      <vt:lpstr>_9h_F49</vt:lpstr>
      <vt:lpstr>_9h_F50</vt:lpstr>
      <vt:lpstr>_9h_F51</vt:lpstr>
      <vt:lpstr>_9h_F53</vt:lpstr>
      <vt:lpstr>_9h_F54</vt:lpstr>
      <vt:lpstr>_9h_F55</vt:lpstr>
      <vt:lpstr>_9h_F56</vt:lpstr>
      <vt:lpstr>_9h_F57</vt:lpstr>
      <vt:lpstr>_9h_F58</vt:lpstr>
      <vt:lpstr>_9h_F59</vt:lpstr>
      <vt:lpstr>_9h_F60</vt:lpstr>
      <vt:lpstr>_9h_F61</vt:lpstr>
      <vt:lpstr>_9h_F62</vt:lpstr>
      <vt:lpstr>_9h_F64</vt:lpstr>
      <vt:lpstr>_9h_F65</vt:lpstr>
      <vt:lpstr>_9h_F7</vt:lpstr>
      <vt:lpstr>_9h_F8</vt:lpstr>
      <vt:lpstr>_9h_F9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Наталья</cp:lastModifiedBy>
  <cp:lastPrinted>2014-03-03T05:02:32Z</cp:lastPrinted>
  <dcterms:created xsi:type="dcterms:W3CDTF">2012-08-23T07:15:24Z</dcterms:created>
  <dcterms:modified xsi:type="dcterms:W3CDTF">2014-03-03T05:11:34Z</dcterms:modified>
</cp:coreProperties>
</file>